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cassinitechnologiesbv.sharepoint.com/sites/Commercial/Shared Documents/General/"/>
    </mc:Choice>
  </mc:AlternateContent>
  <xr:revisionPtr revIDLastSave="0" documentId="8_{198BB00A-8908-463A-8908-5E17BBEDE56B}" xr6:coauthVersionLast="47" xr6:coauthVersionMax="47" xr10:uidLastSave="{00000000-0000-0000-0000-000000000000}"/>
  <bookViews>
    <workbookView xWindow="-8631" yWindow="-18617" windowWidth="33120" windowHeight="18000" firstSheet="1" activeTab="1" xr2:uid="{B0709A76-5377-4C3F-A959-DDDD9075476C}"/>
  </bookViews>
  <sheets>
    <sheet name="Cover" sheetId="10" r:id="rId1"/>
    <sheet name="Input" sheetId="14" r:id="rId2"/>
    <sheet name="Results" sheetId="16" r:id="rId3"/>
    <sheet name="Appendix &gt;" sheetId="18" r:id="rId4"/>
    <sheet name="Assumptions" sheetId="12" r:id="rId5"/>
    <sheet name="Benefits" sheetId="13" r:id="rId6"/>
    <sheet name="Extra Charts" sheetId="19" r:id="rId7"/>
    <sheet name="Graph Data" sheetId="20" state="hidden" r:id="rId8"/>
    <sheet name="{Check}" sheetId="17" state="hidden" r:id="rId9"/>
    <sheet name="Sheet4" sheetId="4" state="hidden" r:id="rId10"/>
  </sheets>
  <definedNames>
    <definedName name="_xlnm.Print_Area" localSheetId="0">Cover!$B$2:$J$34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20" l="1"/>
  <c r="C47" i="20"/>
  <c r="C48" i="20"/>
  <c r="O38" i="20"/>
  <c r="C38" i="20"/>
  <c r="G18" i="20"/>
  <c r="G23" i="20" s="1"/>
  <c r="F18" i="20"/>
  <c r="F23" i="20" s="1"/>
  <c r="E18" i="20"/>
  <c r="E23" i="20" s="1"/>
  <c r="D18" i="20"/>
  <c r="P36" i="20" s="1"/>
  <c r="C18" i="20"/>
  <c r="D36" i="20" s="1"/>
  <c r="G17" i="20"/>
  <c r="G22" i="20" s="1"/>
  <c r="F17" i="20"/>
  <c r="F22" i="20" s="1"/>
  <c r="E17" i="20"/>
  <c r="E22" i="20" s="1"/>
  <c r="D17" i="20"/>
  <c r="T35" i="20" s="1"/>
  <c r="C17" i="20"/>
  <c r="J35" i="20" s="1"/>
  <c r="G16" i="20"/>
  <c r="G21" i="20" s="1"/>
  <c r="F16" i="20"/>
  <c r="F21" i="20" s="1"/>
  <c r="E16" i="20"/>
  <c r="E21" i="20" s="1"/>
  <c r="D16" i="20"/>
  <c r="P34" i="20" s="1"/>
  <c r="C16" i="20"/>
  <c r="D34" i="20" s="1"/>
  <c r="C57" i="16"/>
  <c r="C76" i="16" s="1"/>
  <c r="B37" i="17"/>
  <c r="C10" i="17"/>
  <c r="D10" i="17" s="1"/>
  <c r="E10" i="17" s="1"/>
  <c r="F10" i="17" s="1"/>
  <c r="G10" i="17" s="1"/>
  <c r="C8" i="17"/>
  <c r="D8" i="17" s="1"/>
  <c r="E8" i="17" s="1"/>
  <c r="F8" i="17" s="1"/>
  <c r="G8" i="17" s="1"/>
  <c r="C7" i="17"/>
  <c r="C17" i="17" s="1"/>
  <c r="C6" i="17"/>
  <c r="D6" i="17" s="1"/>
  <c r="B41" i="17"/>
  <c r="B17" i="17"/>
  <c r="B16" i="17"/>
  <c r="B28" i="13"/>
  <c r="B9" i="13"/>
  <c r="C9" i="16"/>
  <c r="C9" i="13" s="1"/>
  <c r="C69" i="16"/>
  <c r="E76" i="16"/>
  <c r="F76" i="16" s="1"/>
  <c r="G76" i="16" s="1"/>
  <c r="C56" i="16"/>
  <c r="C68" i="16"/>
  <c r="D68" i="16" s="1"/>
  <c r="E68" i="16" s="1"/>
  <c r="F68" i="16" s="1"/>
  <c r="G68" i="16" s="1"/>
  <c r="C22" i="20" l="1"/>
  <c r="C27" i="20" s="1"/>
  <c r="C35" i="20"/>
  <c r="C42" i="20" s="1"/>
  <c r="S34" i="20"/>
  <c r="Q34" i="20"/>
  <c r="R34" i="20"/>
  <c r="D35" i="20"/>
  <c r="E35" i="20"/>
  <c r="O35" i="20"/>
  <c r="P35" i="20"/>
  <c r="Q35" i="20"/>
  <c r="R35" i="20"/>
  <c r="D22" i="20"/>
  <c r="F36" i="20"/>
  <c r="T34" i="20"/>
  <c r="F35" i="20"/>
  <c r="E34" i="20"/>
  <c r="K35" i="20"/>
  <c r="S36" i="20"/>
  <c r="F34" i="20"/>
  <c r="L35" i="20"/>
  <c r="E36" i="20"/>
  <c r="G34" i="20"/>
  <c r="M35" i="20"/>
  <c r="Q36" i="20"/>
  <c r="R36" i="20"/>
  <c r="H34" i="20"/>
  <c r="N35" i="20"/>
  <c r="T36" i="20"/>
  <c r="I36" i="20"/>
  <c r="C23" i="20"/>
  <c r="C28" i="20" s="1"/>
  <c r="D28" i="20" s="1"/>
  <c r="E28" i="20" s="1"/>
  <c r="F28" i="20" s="1"/>
  <c r="G28" i="20" s="1"/>
  <c r="K34" i="20"/>
  <c r="D21" i="20"/>
  <c r="M34" i="20"/>
  <c r="G35" i="20"/>
  <c r="S35" i="20"/>
  <c r="M36" i="20"/>
  <c r="D23" i="20"/>
  <c r="K36" i="20"/>
  <c r="L34" i="20"/>
  <c r="L36" i="20"/>
  <c r="N34" i="20"/>
  <c r="H35" i="20"/>
  <c r="N36" i="20"/>
  <c r="G36" i="20"/>
  <c r="J34" i="20"/>
  <c r="C34" i="20"/>
  <c r="C41" i="20" s="1"/>
  <c r="D41" i="20" s="1"/>
  <c r="O34" i="20"/>
  <c r="I35" i="20"/>
  <c r="C36" i="20"/>
  <c r="C43" i="20" s="1"/>
  <c r="D43" i="20" s="1"/>
  <c r="O36" i="20"/>
  <c r="H36" i="20"/>
  <c r="I34" i="20"/>
  <c r="J36" i="20"/>
  <c r="C21" i="20"/>
  <c r="C26" i="20" s="1"/>
  <c r="D69" i="16"/>
  <c r="E69" i="16" s="1"/>
  <c r="F69" i="16" s="1"/>
  <c r="G69" i="16" s="1"/>
  <c r="C11" i="17"/>
  <c r="C9" i="17"/>
  <c r="C16" i="17"/>
  <c r="C18" i="17" s="1"/>
  <c r="D7" i="17"/>
  <c r="D9" i="17" s="1"/>
  <c r="E6" i="17"/>
  <c r="F6" i="17" s="1"/>
  <c r="G6" i="17" s="1"/>
  <c r="C58" i="16"/>
  <c r="C75" i="16"/>
  <c r="D26" i="20" l="1"/>
  <c r="E26" i="20" s="1"/>
  <c r="F26" i="20" s="1"/>
  <c r="G26" i="20" s="1"/>
  <c r="D27" i="20"/>
  <c r="E27" i="20" s="1"/>
  <c r="F27" i="20" s="1"/>
  <c r="G27" i="20" s="1"/>
  <c r="D42" i="20"/>
  <c r="E42" i="20" s="1"/>
  <c r="F42" i="20" s="1"/>
  <c r="G42" i="20" s="1"/>
  <c r="H42" i="20" s="1"/>
  <c r="I42" i="20" s="1"/>
  <c r="J42" i="20" s="1"/>
  <c r="K42" i="20" s="1"/>
  <c r="L42" i="20" s="1"/>
  <c r="M42" i="20" s="1"/>
  <c r="N42" i="20" s="1"/>
  <c r="O42" i="20" s="1"/>
  <c r="P42" i="20" s="1"/>
  <c r="Q42" i="20" s="1"/>
  <c r="R42" i="20" s="1"/>
  <c r="S42" i="20" s="1"/>
  <c r="T42" i="20" s="1"/>
  <c r="E41" i="20"/>
  <c r="F41" i="20" s="1"/>
  <c r="G41" i="20" s="1"/>
  <c r="H41" i="20" s="1"/>
  <c r="I41" i="20" s="1"/>
  <c r="J41" i="20" s="1"/>
  <c r="K41" i="20" s="1"/>
  <c r="L41" i="20" s="1"/>
  <c r="M41" i="20" s="1"/>
  <c r="N41" i="20" s="1"/>
  <c r="O41" i="20" s="1"/>
  <c r="P41" i="20" s="1"/>
  <c r="Q41" i="20" s="1"/>
  <c r="R41" i="20" s="1"/>
  <c r="S41" i="20" s="1"/>
  <c r="T41" i="20" s="1"/>
  <c r="E43" i="20"/>
  <c r="F43" i="20" s="1"/>
  <c r="G43" i="20" s="1"/>
  <c r="H43" i="20" s="1"/>
  <c r="I43" i="20" s="1"/>
  <c r="J43" i="20" s="1"/>
  <c r="K43" i="20" s="1"/>
  <c r="L43" i="20" s="1"/>
  <c r="M43" i="20" s="1"/>
  <c r="N43" i="20" s="1"/>
  <c r="O43" i="20" s="1"/>
  <c r="P43" i="20" s="1"/>
  <c r="Q43" i="20" s="1"/>
  <c r="R43" i="20" s="1"/>
  <c r="S43" i="20" s="1"/>
  <c r="T43" i="20" s="1"/>
  <c r="D11" i="17"/>
  <c r="D16" i="17"/>
  <c r="D17" i="17"/>
  <c r="E7" i="17"/>
  <c r="C77" i="16"/>
  <c r="C10" i="20" s="1"/>
  <c r="D75" i="16"/>
  <c r="O10" i="20" l="1"/>
  <c r="E11" i="17"/>
  <c r="E9" i="17"/>
  <c r="D18" i="17"/>
  <c r="F7" i="17"/>
  <c r="E17" i="17"/>
  <c r="E16" i="17"/>
  <c r="D77" i="16"/>
  <c r="E75" i="16"/>
  <c r="F11" i="17" l="1"/>
  <c r="F9" i="17"/>
  <c r="E18" i="17"/>
  <c r="G7" i="17"/>
  <c r="F17" i="17"/>
  <c r="F16" i="17"/>
  <c r="F75" i="16"/>
  <c r="E77" i="16"/>
  <c r="G11" i="17" l="1"/>
  <c r="G9" i="17"/>
  <c r="F18" i="17"/>
  <c r="G17" i="17"/>
  <c r="G16" i="17"/>
  <c r="G75" i="16"/>
  <c r="G77" i="16" s="1"/>
  <c r="F77" i="16"/>
  <c r="G18" i="17" l="1"/>
  <c r="B8" i="13" l="1"/>
  <c r="B27" i="13"/>
  <c r="D11" i="12"/>
  <c r="C11" i="12"/>
  <c r="D8" i="12"/>
  <c r="D14" i="12" s="1"/>
  <c r="C8" i="12"/>
  <c r="E12" i="12"/>
  <c r="E10" i="12"/>
  <c r="E13" i="12"/>
  <c r="E9" i="12"/>
  <c r="C10" i="14"/>
  <c r="C14" i="12" l="1"/>
  <c r="E11" i="12"/>
  <c r="C17" i="13" s="1"/>
  <c r="C8" i="13"/>
  <c r="C10" i="13" s="1"/>
  <c r="E8" i="12"/>
  <c r="E14" i="12" l="1"/>
  <c r="D17" i="13"/>
  <c r="D24" i="17"/>
  <c r="D28" i="17" s="1"/>
  <c r="C24" i="17"/>
  <c r="C28" i="17" s="1"/>
  <c r="E24" i="17"/>
  <c r="E28" i="17" s="1"/>
  <c r="F24" i="17"/>
  <c r="F28" i="17" s="1"/>
  <c r="G24" i="17"/>
  <c r="G28" i="17" s="1"/>
  <c r="C16" i="13"/>
  <c r="C18" i="13" s="1"/>
  <c r="C23" i="13" s="1"/>
  <c r="D23" i="17"/>
  <c r="C23" i="17"/>
  <c r="E23" i="17"/>
  <c r="F23" i="17"/>
  <c r="G23" i="17"/>
  <c r="C51" i="16"/>
  <c r="C71" i="16" s="1"/>
  <c r="D71" i="16" s="1"/>
  <c r="E71" i="16" s="1"/>
  <c r="F71" i="16" s="1"/>
  <c r="G71" i="16" s="1"/>
  <c r="D6" i="4"/>
  <c r="C6" i="4"/>
  <c r="E5" i="4"/>
  <c r="D9" i="4"/>
  <c r="C9" i="4"/>
  <c r="D16" i="13" l="1"/>
  <c r="D18" i="13" s="1"/>
  <c r="C24" i="13"/>
  <c r="C28" i="13" s="1"/>
  <c r="D28" i="13" s="1"/>
  <c r="E25" i="17"/>
  <c r="E27" i="17"/>
  <c r="E29" i="17" s="1"/>
  <c r="C27" i="17"/>
  <c r="C29" i="17" s="1"/>
  <c r="C25" i="17"/>
  <c r="G25" i="17"/>
  <c r="G27" i="17"/>
  <c r="G29" i="17" s="1"/>
  <c r="F25" i="17"/>
  <c r="F27" i="17"/>
  <c r="F29" i="17" s="1"/>
  <c r="D27" i="17"/>
  <c r="D29" i="17" s="1"/>
  <c r="D25" i="17"/>
  <c r="E6" i="4"/>
  <c r="E9" i="4"/>
  <c r="C27" i="13" l="1"/>
  <c r="D27" i="13" s="1"/>
  <c r="C52" i="16" s="1"/>
  <c r="C35" i="17"/>
  <c r="C34" i="17"/>
  <c r="D35" i="17"/>
  <c r="D34" i="17"/>
  <c r="F35" i="17"/>
  <c r="F34" i="17"/>
  <c r="G34" i="17"/>
  <c r="G35" i="17"/>
  <c r="E35" i="17"/>
  <c r="E34" i="17"/>
  <c r="F9" i="4"/>
  <c r="D11" i="4"/>
  <c r="F42" i="17" l="1"/>
  <c r="F43" i="17" s="1"/>
  <c r="F38" i="17"/>
  <c r="F39" i="17" s="1"/>
  <c r="D42" i="17"/>
  <c r="D43" i="17" s="1"/>
  <c r="D38" i="17"/>
  <c r="D39" i="17" s="1"/>
  <c r="C38" i="17"/>
  <c r="C39" i="17" s="1"/>
  <c r="C42" i="17"/>
  <c r="C43" i="17" s="1"/>
  <c r="E38" i="17"/>
  <c r="E39" i="17" s="1"/>
  <c r="E42" i="17"/>
  <c r="E43" i="17" s="1"/>
  <c r="G38" i="17"/>
  <c r="G39" i="17" s="1"/>
  <c r="G42" i="17"/>
  <c r="G43" i="17" s="1"/>
  <c r="C53" i="16"/>
  <c r="C72" i="16"/>
  <c r="C73" i="16" l="1"/>
  <c r="D72" i="16"/>
  <c r="C60" i="16"/>
  <c r="C62" i="16"/>
  <c r="C9" i="20" l="1"/>
  <c r="C11" i="20" s="1"/>
  <c r="D9" i="20"/>
  <c r="J9" i="20"/>
  <c r="N9" i="20"/>
  <c r="M9" i="20"/>
  <c r="K9" i="20"/>
  <c r="I9" i="20"/>
  <c r="L9" i="20"/>
  <c r="F9" i="20"/>
  <c r="E9" i="20"/>
  <c r="H9" i="20"/>
  <c r="G9" i="20"/>
  <c r="C79" i="16"/>
  <c r="C80" i="16" s="1"/>
  <c r="D73" i="16"/>
  <c r="E72" i="16"/>
  <c r="D11" i="20" l="1"/>
  <c r="E11" i="20" s="1"/>
  <c r="F11" i="20" s="1"/>
  <c r="G11" i="20" s="1"/>
  <c r="H11" i="20" s="1"/>
  <c r="I11" i="20" s="1"/>
  <c r="J11" i="20" s="1"/>
  <c r="K11" i="20" s="1"/>
  <c r="L11" i="20" s="1"/>
  <c r="M11" i="20" s="1"/>
  <c r="N11" i="20" s="1"/>
  <c r="P9" i="20"/>
  <c r="O9" i="20"/>
  <c r="R9" i="20"/>
  <c r="Q9" i="20"/>
  <c r="T9" i="20"/>
  <c r="S9" i="20"/>
  <c r="D79" i="16"/>
  <c r="D80" i="16" s="1"/>
  <c r="E73" i="16"/>
  <c r="E79" i="16" s="1"/>
  <c r="F72" i="16"/>
  <c r="E80" i="16" l="1"/>
  <c r="O11" i="20"/>
  <c r="P11" i="20" s="1"/>
  <c r="Q11" i="20" s="1"/>
  <c r="R11" i="20" s="1"/>
  <c r="S11" i="20" s="1"/>
  <c r="T11" i="20" s="1"/>
  <c r="G72" i="16"/>
  <c r="G73" i="16" s="1"/>
  <c r="G79" i="16" s="1"/>
  <c r="F73" i="16"/>
  <c r="F79" i="16" s="1"/>
  <c r="F80" i="16" l="1"/>
  <c r="G80" i="16" s="1"/>
  <c r="C82" i="16"/>
</calcChain>
</file>

<file path=xl/sharedStrings.xml><?xml version="1.0" encoding="utf-8"?>
<sst xmlns="http://schemas.openxmlformats.org/spreadsheetml/2006/main" count="255" uniqueCount="150">
  <si>
    <t xml:space="preserve">Connect OR Customer Value </t>
  </si>
  <si>
    <t>DATA COLLECTION</t>
  </si>
  <si>
    <t>Input Data</t>
  </si>
  <si>
    <t>Please enter current information about cataract procedures performed, revenue and cost.</t>
  </si>
  <si>
    <t>Annual Cataract Procedures</t>
  </si>
  <si>
    <t>Total Cataract Procedures (p.a.)</t>
  </si>
  <si>
    <t>Current Premium Procedure Split %</t>
  </si>
  <si>
    <t>Total Premium Procedures (p.a.)</t>
  </si>
  <si>
    <t>Potential Patient Growth Rate (YoY)</t>
  </si>
  <si>
    <t>Revenue</t>
  </si>
  <si>
    <t>Average Revenue per Premium Patient ($)</t>
  </si>
  <si>
    <t>Est. Profit Margin for Premium Cataracts(%)</t>
  </si>
  <si>
    <t>Costs</t>
  </si>
  <si>
    <t>Technician Hourly Rate ($)</t>
  </si>
  <si>
    <t>Surgeon Hourly Rate ($)</t>
  </si>
  <si>
    <t>Annual Digital Suite Cost ($)</t>
  </si>
  <si>
    <t>Equipment Cost + Service Agreements</t>
  </si>
  <si>
    <t>CONNECT OR VALUE</t>
  </si>
  <si>
    <t>Scenario</t>
  </si>
  <si>
    <t>Please select the benefit scenario when using Connect OR.</t>
  </si>
  <si>
    <t>Premium Mix Uplift</t>
  </si>
  <si>
    <t>Desired Premium Procedure Split %</t>
  </si>
  <si>
    <t>Total Desired Premium Procedures (p.a.)</t>
  </si>
  <si>
    <t>Time Savings</t>
  </si>
  <si>
    <t>With time saved, surgeons can:</t>
  </si>
  <si>
    <t>Spend less time in OR</t>
  </si>
  <si>
    <t>Payback &amp; Profit Projections</t>
  </si>
  <si>
    <t xml:space="preserve">Year 1: Return on Investment </t>
  </si>
  <si>
    <t>Total Incremental Gains</t>
  </si>
  <si>
    <t>Total Incremental Profit</t>
  </si>
  <si>
    <t>Investment Cost</t>
  </si>
  <si>
    <t xml:space="preserve">Total Connect OR Cost </t>
  </si>
  <si>
    <t>NET PROFIT</t>
  </si>
  <si>
    <t>Payback period (months)</t>
  </si>
  <si>
    <t>5-Year Annual Projection</t>
  </si>
  <si>
    <t>Assumes a steady-state incremental annual growth rate</t>
  </si>
  <si>
    <t>YEAR 1</t>
  </si>
  <si>
    <t>YEAR 2</t>
  </si>
  <si>
    <t>YEAR 3</t>
  </si>
  <si>
    <t>YEAR 4</t>
  </si>
  <si>
    <t>YEAR 5</t>
  </si>
  <si>
    <t>YoY Growth Rate</t>
  </si>
  <si>
    <t>Total Cataract Procedures</t>
  </si>
  <si>
    <t>Annual Premium Mix Uplift</t>
  </si>
  <si>
    <t>Annual Time Savings</t>
  </si>
  <si>
    <t>Total Annual Incremental Gain</t>
  </si>
  <si>
    <t>Total Annual Investment Cost</t>
  </si>
  <si>
    <t>ANNUAL NET PROFIT</t>
  </si>
  <si>
    <t>CUMULATIVE NET PROFIT</t>
  </si>
  <si>
    <t>5 YEAR CUMULATIVE NET PROFIT</t>
  </si>
  <si>
    <t>Intentionally left blank</t>
  </si>
  <si>
    <t>ASSUMPTIONS</t>
  </si>
  <si>
    <t>Time Spent (on toric procedures)</t>
  </si>
  <si>
    <t>Data based on Zeiss digital cataract workflow study (430 workflows)</t>
  </si>
  <si>
    <t>Time spent (mins)</t>
  </si>
  <si>
    <t>Manual</t>
  </si>
  <si>
    <t>Digital</t>
  </si>
  <si>
    <t>Delta</t>
  </si>
  <si>
    <t>Notes</t>
  </si>
  <si>
    <t>Technician</t>
  </si>
  <si>
    <t>Accounts for pre-op assessments, data transfer</t>
  </si>
  <si>
    <t xml:space="preserve">    Pre-op Assessment</t>
  </si>
  <si>
    <t xml:space="preserve">    Data Transfer</t>
  </si>
  <si>
    <t>due to automated connectivity</t>
  </si>
  <si>
    <t>Surgeon</t>
  </si>
  <si>
    <t>Accounts for IOL calculation and toric alignment</t>
  </si>
  <si>
    <t xml:space="preserve">    IOL Calculations</t>
  </si>
  <si>
    <t xml:space="preserve">    Toric Alignment</t>
  </si>
  <si>
    <t>due to automated integration</t>
  </si>
  <si>
    <t>Total time spent</t>
  </si>
  <si>
    <t>BENEFITS CALCULATION</t>
  </si>
  <si>
    <t>1. Premium Mix Uplift</t>
  </si>
  <si>
    <t>Connect OR drives an increase in premium procedures performed.</t>
  </si>
  <si>
    <t>Gross Profit</t>
  </si>
  <si>
    <t>Incremental Gross Profit (p.a.)</t>
  </si>
  <si>
    <t>2a. Time Savings - Efficiency Gains</t>
  </si>
  <si>
    <t>Time and cost savings from premium procedures with Connect OR.</t>
  </si>
  <si>
    <t>Saved hours</t>
  </si>
  <si>
    <t>Saved $</t>
  </si>
  <si>
    <t>Surgeons</t>
  </si>
  <si>
    <t>Total Gross Savings (p.a.)</t>
  </si>
  <si>
    <t>2b. Time Savings - Increase Capacity</t>
  </si>
  <si>
    <t>Leverage time savings to perform additional premium procedures, while keeping staff and surgeon hours the same. Assumes 100% capacity.</t>
  </si>
  <si>
    <t>Total Hours Gained (p.a.)</t>
  </si>
  <si>
    <t>Total Additional Procedures (p.a.)</t>
  </si>
  <si>
    <t>Incremental Premium Procedures</t>
  </si>
  <si>
    <t>Incremental Gross 
Profit (p.a.)</t>
  </si>
  <si>
    <t>SCENARIO BASED GRAPHS</t>
  </si>
  <si>
    <t>Comparison graphs - Total Net Profit, Cumulative Profit &amp; Payback Period</t>
  </si>
  <si>
    <t>GRAPH DATA - Sheet to be hidden</t>
  </si>
  <si>
    <t>Payback Period chart (displayed in Results sheet)</t>
  </si>
  <si>
    <t>Months</t>
  </si>
  <si>
    <t>Mo. 1</t>
  </si>
  <si>
    <t>Mo. 2</t>
  </si>
  <si>
    <t>Mo. 3</t>
  </si>
  <si>
    <t>Mo. 4</t>
  </si>
  <si>
    <t>Mo. 5</t>
  </si>
  <si>
    <t>Mo. 6</t>
  </si>
  <si>
    <t>Mo. 7</t>
  </si>
  <si>
    <t>Mo. 8</t>
  </si>
  <si>
    <t>Mo. 9</t>
  </si>
  <si>
    <t>Mo. 10</t>
  </si>
  <si>
    <t>Mo. 11</t>
  </si>
  <si>
    <t>Mo. 12</t>
  </si>
  <si>
    <t>Mo. 13</t>
  </si>
  <si>
    <t>Mo. 14</t>
  </si>
  <si>
    <t>Mo. 15</t>
  </si>
  <si>
    <t>Mo. 16</t>
  </si>
  <si>
    <t>Mo. 17</t>
  </si>
  <si>
    <t>Mo. 18</t>
  </si>
  <si>
    <t>Total Investment Cost</t>
  </si>
  <si>
    <t>Cashflow</t>
  </si>
  <si>
    <t>Scenario Based Charts: Profit (displayed in Extra Charts sheet)</t>
  </si>
  <si>
    <t>Y1</t>
  </si>
  <si>
    <t>Y2</t>
  </si>
  <si>
    <t>Y3</t>
  </si>
  <si>
    <t>Y4</t>
  </si>
  <si>
    <t>Y5</t>
  </si>
  <si>
    <t>Scenario 1: Premium Mix Uplift + Time Savings</t>
  </si>
  <si>
    <t>Scenario 2: Premium Mix Uplift + Increased Premium (Current Split %)</t>
  </si>
  <si>
    <t>Scenario 3: Premium Mix Uplift + Increased Premium (Desired Split %)</t>
  </si>
  <si>
    <t>Total Net Profit</t>
  </si>
  <si>
    <t>Cumulative Net Profit</t>
  </si>
  <si>
    <t xml:space="preserve">Scenario Based Charts: Payback Period (displayed in Extra Charts sheet) </t>
  </si>
  <si>
    <t>Incremental Profit</t>
  </si>
  <si>
    <t>Payback period</t>
  </si>
  <si>
    <t>CALC CHECK - TBC delete/hide</t>
  </si>
  <si>
    <t xml:space="preserve">For calc checking purposes only </t>
  </si>
  <si>
    <t>Growth rate</t>
  </si>
  <si>
    <t>Total Procedures</t>
  </si>
  <si>
    <t>Current Premium Split %</t>
  </si>
  <si>
    <t>Current Premium Procedures #</t>
  </si>
  <si>
    <t>Desired Premium Split %</t>
  </si>
  <si>
    <t>Desired Premium Procedures #</t>
  </si>
  <si>
    <t>Total Saved Hours (p.a.)</t>
  </si>
  <si>
    <t xml:space="preserve">Total Gross Savings </t>
  </si>
  <si>
    <t>2b. Time Savings - Increasing Capacity</t>
  </si>
  <si>
    <t>Current</t>
  </si>
  <si>
    <t>Desired</t>
  </si>
  <si>
    <t>YOY diff</t>
  </si>
  <si>
    <t>% diff</t>
  </si>
  <si>
    <t>TOT Cataract patients</t>
  </si>
  <si>
    <t>Percent Premium</t>
  </si>
  <si>
    <t># of Premium Patients</t>
  </si>
  <si>
    <t>Premium Surcharge</t>
  </si>
  <si>
    <t>Profit Margin (%)</t>
  </si>
  <si>
    <t>Premium Profit</t>
  </si>
  <si>
    <t>Year 1 Connect OR Costs</t>
  </si>
  <si>
    <t>Year 1 ROI</t>
  </si>
  <si>
    <t>EFFICIENCIES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</si>
</sst>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_ * #,##0.00_ ;_ * \-#,##0.00_ ;_ * &quot;-&quot;??_ ;_ @_ "/>
    <numFmt numFmtId="165" formatCode="0_);[Red]\(0\)"/>
    <numFmt numFmtId="166" formatCode="_-[$$-409]* #,##0_ ;_-[$$-409]* \-#,##0\ ;_-[$$-409]* &quot;-&quot;??_ ;_-@_ "/>
    <numFmt numFmtId="167" formatCode="_ * #,##0.0_ ;_ * \-#,##0.0_ ;_ * &quot;-&quot;??_ ;_ @_ "/>
    <numFmt numFmtId="168" formatCode="_ * #,##0_ ;_ * \-#,##0_ ;_ * &quot;-&quot;??_ ;_ @_ "/>
    <numFmt numFmtId="169" formatCode="_ * #,##0.0_ ;_ * \-#,##0.0_ ;_ * &quot;-&quot;?_ ;_ @_ "/>
  </numFmts>
  <fonts count="2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</font>
    <font>
      <sz val="12"/>
      <color rgb="FF0000FF"/>
      <name val="Aptos Display"/>
      <family val="2"/>
    </font>
    <font>
      <i/>
      <sz val="11"/>
      <color theme="1"/>
      <name val="Aptos Narrow"/>
      <family val="2"/>
      <scheme val="minor"/>
    </font>
    <font>
      <b/>
      <sz val="11"/>
      <color theme="1"/>
      <name val="Avenir Book"/>
    </font>
    <font>
      <sz val="11"/>
      <color theme="1"/>
      <name val="Avenir Book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color theme="0"/>
      <name val="Aptos Display"/>
      <family val="2"/>
      <scheme val="major"/>
    </font>
    <font>
      <i/>
      <sz val="10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Display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72B2C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E4E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06A77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rgb="FFCEE4EB"/>
      </left>
      <right style="thin">
        <color rgb="FFCEE4EB"/>
      </right>
      <top style="thin">
        <color rgb="FFCEE4EB"/>
      </top>
      <bottom style="thin">
        <color rgb="FFCEE4EB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rgb="FFCEE4EB"/>
      </bottom>
      <diagonal/>
    </border>
    <border>
      <left style="thin">
        <color rgb="FFCEE4EB"/>
      </left>
      <right style="thin">
        <color rgb="FFCEE4EB"/>
      </right>
      <top style="thin">
        <color rgb="FFCEE4EB"/>
      </top>
      <bottom/>
      <diagonal/>
    </border>
    <border>
      <left style="thin">
        <color rgb="FFCEE4EB"/>
      </left>
      <right style="thin">
        <color rgb="FFCEE4EB"/>
      </right>
      <top/>
      <bottom/>
      <diagonal/>
    </border>
    <border>
      <left style="thin">
        <color rgb="FFCEE4EB"/>
      </left>
      <right style="thin">
        <color rgb="FFCEE4EB"/>
      </right>
      <top/>
      <bottom style="thin">
        <color rgb="FFCEE4EB"/>
      </bottom>
      <diagonal/>
    </border>
    <border>
      <left style="thin">
        <color rgb="FFCEE4EB"/>
      </left>
      <right/>
      <top style="thin">
        <color rgb="FFCEE4EB"/>
      </top>
      <bottom/>
      <diagonal/>
    </border>
    <border>
      <left style="thin">
        <color rgb="FFCEE4EB"/>
      </left>
      <right/>
      <top/>
      <bottom style="thin">
        <color rgb="FFCEE4EB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4.9989318521683403E-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4.9989318521683403E-2"/>
      </right>
      <top style="thin">
        <color theme="0" tint="-0.1499984740745262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14999847407452621"/>
      </right>
      <top style="thin">
        <color theme="0" tint="-0.14999847407452621"/>
      </top>
      <bottom style="thin">
        <color theme="0" tint="-4.9989318521683403E-2"/>
      </bottom>
      <diagonal/>
    </border>
    <border>
      <left style="thin">
        <color theme="0" tint="-0.14999847407452621"/>
      </left>
      <right style="thin">
        <color theme="0" tint="-4.9989318521683403E-2"/>
      </right>
      <top style="thin">
        <color theme="0" tint="-4.9989318521683403E-2"/>
      </top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0.14999847407452621"/>
      </right>
      <top style="thin">
        <color theme="0" tint="-4.9989318521683403E-2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medium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rgb="FFCEE4EB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6" fontId="3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left" indent="1"/>
    </xf>
    <xf numFmtId="14" fontId="6" fillId="0" borderId="0" xfId="0" applyNumberFormat="1" applyFont="1"/>
    <xf numFmtId="0" fontId="0" fillId="4" borderId="0" xfId="0" applyFill="1"/>
    <xf numFmtId="0" fontId="1" fillId="4" borderId="0" xfId="0" applyFont="1" applyFill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/>
    </xf>
    <xf numFmtId="0" fontId="0" fillId="5" borderId="0" xfId="0" applyFill="1" applyAlignment="1">
      <alignment horizontal="left" vertical="center"/>
    </xf>
    <xf numFmtId="6" fontId="10" fillId="0" borderId="0" xfId="0" applyNumberFormat="1" applyFont="1" applyAlignment="1">
      <alignment horizontal="right" vertical="center"/>
    </xf>
    <xf numFmtId="168" fontId="0" fillId="6" borderId="3" xfId="0" applyNumberForma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8" fillId="7" borderId="0" xfId="0" applyFont="1" applyFill="1"/>
    <xf numFmtId="0" fontId="0" fillId="3" borderId="0" xfId="0" applyFill="1"/>
    <xf numFmtId="0" fontId="13" fillId="3" borderId="0" xfId="0" applyFont="1" applyFill="1" applyAlignment="1">
      <alignment vertical="center"/>
    </xf>
    <xf numFmtId="0" fontId="8" fillId="3" borderId="0" xfId="0" applyFont="1" applyFill="1" applyAlignment="1">
      <alignment horizontal="left"/>
    </xf>
    <xf numFmtId="0" fontId="8" fillId="3" borderId="0" xfId="0" applyFont="1" applyFill="1"/>
    <xf numFmtId="0" fontId="14" fillId="0" borderId="0" xfId="0" applyFont="1" applyAlignment="1">
      <alignment horizontal="left"/>
    </xf>
    <xf numFmtId="0" fontId="15" fillId="7" borderId="0" xfId="0" applyFont="1" applyFill="1" applyAlignment="1">
      <alignment horizontal="left" vertical="center"/>
    </xf>
    <xf numFmtId="169" fontId="0" fillId="4" borderId="0" xfId="0" applyNumberFormat="1" applyFill="1"/>
    <xf numFmtId="164" fontId="0" fillId="4" borderId="0" xfId="0" applyNumberFormat="1" applyFill="1"/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167" fontId="0" fillId="4" borderId="0" xfId="1" applyNumberFormat="1" applyFont="1" applyFill="1" applyBorder="1" applyAlignment="1">
      <alignment horizontal="right"/>
    </xf>
    <xf numFmtId="167" fontId="4" fillId="4" borderId="0" xfId="1" applyNumberFormat="1" applyFont="1" applyFill="1" applyBorder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right"/>
    </xf>
    <xf numFmtId="167" fontId="7" fillId="4" borderId="0" xfId="1" applyNumberFormat="1" applyFont="1" applyFill="1" applyBorder="1" applyAlignment="1">
      <alignment horizontal="right"/>
    </xf>
    <xf numFmtId="0" fontId="0" fillId="4" borderId="0" xfId="0" applyFill="1" applyAlignment="1">
      <alignment horizontal="right"/>
    </xf>
    <xf numFmtId="0" fontId="15" fillId="7" borderId="0" xfId="0" applyFont="1" applyFill="1" applyAlignment="1">
      <alignment horizontal="left" vertical="center" indent="1"/>
    </xf>
    <xf numFmtId="0" fontId="1" fillId="4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right"/>
    </xf>
    <xf numFmtId="168" fontId="0" fillId="4" borderId="0" xfId="1" applyNumberFormat="1" applyFont="1" applyFill="1"/>
    <xf numFmtId="168" fontId="0" fillId="4" borderId="0" xfId="0" applyNumberFormat="1" applyFill="1"/>
    <xf numFmtId="168" fontId="1" fillId="4" borderId="0" xfId="0" applyNumberFormat="1" applyFont="1" applyFill="1"/>
    <xf numFmtId="166" fontId="0" fillId="4" borderId="0" xfId="1" applyNumberFormat="1" applyFont="1" applyFill="1"/>
    <xf numFmtId="166" fontId="0" fillId="4" borderId="0" xfId="0" applyNumberFormat="1" applyFill="1"/>
    <xf numFmtId="0" fontId="4" fillId="4" borderId="0" xfId="0" applyFont="1" applyFill="1"/>
    <xf numFmtId="0" fontId="14" fillId="4" borderId="0" xfId="0" applyFont="1" applyFill="1"/>
    <xf numFmtId="164" fontId="0" fillId="4" borderId="0" xfId="1" applyFont="1" applyFill="1" applyBorder="1" applyAlignment="1">
      <alignment horizontal="right"/>
    </xf>
    <xf numFmtId="164" fontId="4" fillId="4" borderId="0" xfId="1" applyFont="1" applyFill="1"/>
    <xf numFmtId="0" fontId="1" fillId="4" borderId="2" xfId="0" applyFont="1" applyFill="1" applyBorder="1"/>
    <xf numFmtId="164" fontId="1" fillId="4" borderId="2" xfId="1" applyFont="1" applyFill="1" applyBorder="1"/>
    <xf numFmtId="0" fontId="0" fillId="5" borderId="0" xfId="0" applyFill="1"/>
    <xf numFmtId="0" fontId="11" fillId="4" borderId="0" xfId="0" applyFont="1" applyFill="1"/>
    <xf numFmtId="0" fontId="15" fillId="7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1" fillId="4" borderId="0" xfId="0" applyFont="1" applyFill="1" applyAlignment="1">
      <alignment horizontal="right" wrapText="1"/>
    </xf>
    <xf numFmtId="164" fontId="1" fillId="4" borderId="0" xfId="1" applyFont="1" applyFill="1" applyAlignment="1">
      <alignment horizontal="right" wrapText="1"/>
    </xf>
    <xf numFmtId="166" fontId="0" fillId="4" borderId="3" xfId="1" applyNumberFormat="1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168" fontId="0" fillId="4" borderId="0" xfId="0" applyNumberFormat="1" applyFill="1" applyAlignment="1">
      <alignment wrapText="1"/>
    </xf>
    <xf numFmtId="9" fontId="1" fillId="4" borderId="0" xfId="0" applyNumberFormat="1" applyFont="1" applyFill="1" applyAlignment="1">
      <alignment horizontal="right"/>
    </xf>
    <xf numFmtId="0" fontId="10" fillId="4" borderId="0" xfId="0" applyFont="1" applyFill="1"/>
    <xf numFmtId="0" fontId="10" fillId="4" borderId="0" xfId="0" applyFont="1" applyFill="1" applyAlignment="1">
      <alignment wrapText="1"/>
    </xf>
    <xf numFmtId="0" fontId="11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166" fontId="0" fillId="4" borderId="4" xfId="1" applyNumberFormat="1" applyFont="1" applyFill="1" applyBorder="1" applyAlignment="1">
      <alignment horizontal="center" wrapText="1"/>
    </xf>
    <xf numFmtId="166" fontId="0" fillId="4" borderId="7" xfId="1" applyNumberFormat="1" applyFont="1" applyFill="1" applyBorder="1" applyAlignment="1">
      <alignment horizontal="center" wrapText="1"/>
    </xf>
    <xf numFmtId="166" fontId="1" fillId="6" borderId="7" xfId="0" applyNumberFormat="1" applyFont="1" applyFill="1" applyBorder="1" applyAlignment="1">
      <alignment horizontal="center" wrapText="1"/>
    </xf>
    <xf numFmtId="0" fontId="0" fillId="5" borderId="9" xfId="0" applyFill="1" applyBorder="1"/>
    <xf numFmtId="0" fontId="0" fillId="5" borderId="10" xfId="0" applyFill="1" applyBorder="1"/>
    <xf numFmtId="0" fontId="1" fillId="5" borderId="11" xfId="0" applyFont="1" applyFill="1" applyBorder="1"/>
    <xf numFmtId="168" fontId="0" fillId="4" borderId="7" xfId="1" applyNumberFormat="1" applyFont="1" applyFill="1" applyBorder="1" applyAlignment="1">
      <alignment horizontal="center" wrapText="1"/>
    </xf>
    <xf numFmtId="0" fontId="0" fillId="5" borderId="11" xfId="0" applyFill="1" applyBorder="1"/>
    <xf numFmtId="0" fontId="0" fillId="5" borderId="13" xfId="0" applyFill="1" applyBorder="1"/>
    <xf numFmtId="0" fontId="1" fillId="5" borderId="13" xfId="0" applyFont="1" applyFill="1" applyBorder="1"/>
    <xf numFmtId="168" fontId="0" fillId="4" borderId="14" xfId="1" applyNumberFormat="1" applyFont="1" applyFill="1" applyBorder="1" applyAlignment="1">
      <alignment horizontal="center" wrapText="1"/>
    </xf>
    <xf numFmtId="166" fontId="1" fillId="6" borderId="16" xfId="0" applyNumberFormat="1" applyFont="1" applyFill="1" applyBorder="1" applyAlignment="1">
      <alignment horizontal="center" wrapText="1"/>
    </xf>
    <xf numFmtId="166" fontId="1" fillId="6" borderId="18" xfId="1" applyNumberFormat="1" applyFont="1" applyFill="1" applyBorder="1" applyAlignment="1">
      <alignment horizontal="center" wrapText="1"/>
    </xf>
    <xf numFmtId="166" fontId="1" fillId="6" borderId="20" xfId="1" applyNumberFormat="1" applyFont="1" applyFill="1" applyBorder="1" applyAlignment="1">
      <alignment horizontal="center" wrapText="1"/>
    </xf>
    <xf numFmtId="9" fontId="0" fillId="4" borderId="0" xfId="0" applyNumberFormat="1" applyFill="1"/>
    <xf numFmtId="0" fontId="14" fillId="4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9" fontId="10" fillId="4" borderId="0" xfId="0" applyNumberFormat="1" applyFont="1" applyFill="1" applyAlignment="1">
      <alignment wrapText="1"/>
    </xf>
    <xf numFmtId="168" fontId="10" fillId="4" borderId="0" xfId="1" applyNumberFormat="1" applyFont="1" applyFill="1" applyAlignment="1">
      <alignment wrapText="1"/>
    </xf>
    <xf numFmtId="168" fontId="10" fillId="4" borderId="0" xfId="0" applyNumberFormat="1" applyFont="1" applyFill="1" applyAlignment="1">
      <alignment wrapText="1"/>
    </xf>
    <xf numFmtId="0" fontId="15" fillId="8" borderId="0" xfId="0" applyFont="1" applyFill="1" applyAlignment="1">
      <alignment horizontal="left" vertical="center" indent="1"/>
    </xf>
    <xf numFmtId="0" fontId="15" fillId="8" borderId="0" xfId="0" applyFont="1" applyFill="1" applyAlignment="1">
      <alignment horizontal="left" vertical="center" wrapText="1"/>
    </xf>
    <xf numFmtId="0" fontId="10" fillId="4" borderId="23" xfId="0" applyFont="1" applyFill="1" applyBorder="1"/>
    <xf numFmtId="168" fontId="10" fillId="4" borderId="23" xfId="1" applyNumberFormat="1" applyFont="1" applyFill="1" applyBorder="1" applyAlignment="1">
      <alignment wrapText="1"/>
    </xf>
    <xf numFmtId="168" fontId="10" fillId="4" borderId="23" xfId="0" applyNumberFormat="1" applyFont="1" applyFill="1" applyBorder="1" applyAlignment="1">
      <alignment wrapText="1"/>
    </xf>
    <xf numFmtId="168" fontId="1" fillId="4" borderId="15" xfId="1" applyNumberFormat="1" applyFont="1" applyFill="1" applyBorder="1" applyAlignment="1">
      <alignment horizontal="center" wrapText="1"/>
    </xf>
    <xf numFmtId="168" fontId="1" fillId="4" borderId="7" xfId="1" applyNumberFormat="1" applyFont="1" applyFill="1" applyBorder="1" applyAlignment="1">
      <alignment horizontal="center" wrapText="1"/>
    </xf>
    <xf numFmtId="0" fontId="12" fillId="4" borderId="0" xfId="0" applyFont="1" applyFill="1"/>
    <xf numFmtId="168" fontId="0" fillId="6" borderId="7" xfId="0" applyNumberFormat="1" applyFill="1" applyBorder="1" applyAlignment="1">
      <alignment vertical="center"/>
    </xf>
    <xf numFmtId="0" fontId="0" fillId="5" borderId="9" xfId="0" applyFill="1" applyBorder="1" applyAlignment="1">
      <alignment horizontal="left"/>
    </xf>
    <xf numFmtId="0" fontId="0" fillId="5" borderId="11" xfId="0" applyFill="1" applyBorder="1" applyAlignment="1">
      <alignment horizontal="left" vertical="center"/>
    </xf>
    <xf numFmtId="0" fontId="0" fillId="5" borderId="6" xfId="0" applyFill="1" applyBorder="1" applyAlignment="1">
      <alignment horizontal="left"/>
    </xf>
    <xf numFmtId="166" fontId="1" fillId="4" borderId="25" xfId="1" applyNumberFormat="1" applyFont="1" applyFill="1" applyBorder="1" applyAlignment="1">
      <alignment horizontal="center" wrapText="1"/>
    </xf>
    <xf numFmtId="167" fontId="1" fillId="4" borderId="7" xfId="1" applyNumberFormat="1" applyFont="1" applyFill="1" applyBorder="1" applyAlignment="1">
      <alignment horizontal="center" wrapText="1"/>
    </xf>
    <xf numFmtId="0" fontId="0" fillId="5" borderId="10" xfId="0" applyFill="1" applyBorder="1" applyAlignment="1">
      <alignment horizontal="left"/>
    </xf>
    <xf numFmtId="0" fontId="1" fillId="5" borderId="11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1" fillId="5" borderId="6" xfId="0" applyFont="1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0" fillId="5" borderId="24" xfId="0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168" fontId="0" fillId="4" borderId="17" xfId="1" applyNumberFormat="1" applyFont="1" applyFill="1" applyBorder="1" applyAlignment="1">
      <alignment horizontal="center" wrapText="1"/>
    </xf>
    <xf numFmtId="168" fontId="0" fillId="4" borderId="19" xfId="1" applyNumberFormat="1" applyFont="1" applyFill="1" applyBorder="1" applyAlignment="1">
      <alignment horizontal="center" wrapText="1"/>
    </xf>
    <xf numFmtId="166" fontId="1" fillId="4" borderId="21" xfId="1" applyNumberFormat="1" applyFont="1" applyFill="1" applyBorder="1"/>
    <xf numFmtId="166" fontId="1" fillId="5" borderId="22" xfId="0" applyNumberFormat="1" applyFont="1" applyFill="1" applyBorder="1"/>
    <xf numFmtId="0" fontId="16" fillId="4" borderId="0" xfId="0" applyFont="1" applyFill="1"/>
    <xf numFmtId="0" fontId="17" fillId="4" borderId="0" xfId="0" applyFont="1" applyFill="1"/>
    <xf numFmtId="0" fontId="0" fillId="5" borderId="13" xfId="0" applyFill="1" applyBorder="1" applyAlignment="1">
      <alignment horizontal="left"/>
    </xf>
    <xf numFmtId="166" fontId="1" fillId="4" borderId="22" xfId="0" applyNumberFormat="1" applyFont="1" applyFill="1" applyBorder="1"/>
    <xf numFmtId="0" fontId="1" fillId="5" borderId="6" xfId="0" applyFont="1" applyFill="1" applyBorder="1"/>
    <xf numFmtId="0" fontId="18" fillId="4" borderId="0" xfId="0" applyFont="1" applyFill="1"/>
    <xf numFmtId="168" fontId="0" fillId="2" borderId="3" xfId="1" applyNumberFormat="1" applyFont="1" applyFill="1" applyBorder="1" applyAlignment="1" applyProtection="1">
      <alignment horizontal="left" vertical="center"/>
      <protection locked="0"/>
    </xf>
    <xf numFmtId="9" fontId="0" fillId="2" borderId="3" xfId="2" applyFont="1" applyFill="1" applyBorder="1" applyAlignment="1" applyProtection="1">
      <alignment vertical="center"/>
      <protection locked="0"/>
    </xf>
    <xf numFmtId="9" fontId="0" fillId="2" borderId="3" xfId="0" applyNumberFormat="1" applyFill="1" applyBorder="1" applyAlignment="1" applyProtection="1">
      <alignment vertical="center"/>
      <protection locked="0"/>
    </xf>
    <xf numFmtId="166" fontId="10" fillId="2" borderId="3" xfId="0" applyNumberFormat="1" applyFont="1" applyFill="1" applyBorder="1" applyAlignment="1" applyProtection="1">
      <alignment horizontal="right" vertical="center"/>
      <protection locked="0"/>
    </xf>
    <xf numFmtId="9" fontId="10" fillId="2" borderId="5" xfId="0" applyNumberFormat="1" applyFont="1" applyFill="1" applyBorder="1" applyAlignment="1" applyProtection="1">
      <alignment horizontal="right" vertical="center"/>
      <protection locked="0"/>
    </xf>
    <xf numFmtId="166" fontId="10" fillId="2" borderId="5" xfId="0" applyNumberFormat="1" applyFont="1" applyFill="1" applyBorder="1" applyAlignment="1" applyProtection="1">
      <alignment horizontal="right" vertical="center"/>
      <protection locked="0"/>
    </xf>
    <xf numFmtId="9" fontId="0" fillId="2" borderId="7" xfId="2" applyFont="1" applyFill="1" applyBorder="1" applyAlignment="1" applyProtection="1">
      <alignment vertical="center"/>
      <protection locked="0"/>
    </xf>
    <xf numFmtId="168" fontId="0" fillId="2" borderId="7" xfId="1" applyNumberFormat="1" applyFont="1" applyFill="1" applyBorder="1" applyAlignment="1" applyProtection="1">
      <alignment horizontal="left" vertical="center"/>
      <protection locked="0"/>
    </xf>
    <xf numFmtId="166" fontId="0" fillId="4" borderId="0" xfId="1" applyNumberFormat="1" applyFont="1" applyFill="1" applyBorder="1" applyAlignment="1" applyProtection="1">
      <alignment horizontal="center" wrapText="1"/>
      <protection hidden="1"/>
    </xf>
    <xf numFmtId="166" fontId="1" fillId="4" borderId="21" xfId="1" applyNumberFormat="1" applyFont="1" applyFill="1" applyBorder="1" applyAlignment="1" applyProtection="1">
      <alignment horizontal="center" wrapText="1"/>
      <protection hidden="1"/>
    </xf>
    <xf numFmtId="0" fontId="0" fillId="4" borderId="0" xfId="0" applyFill="1" applyProtection="1">
      <protection hidden="1"/>
    </xf>
    <xf numFmtId="166" fontId="1" fillId="4" borderId="25" xfId="1" applyNumberFormat="1" applyFont="1" applyFill="1" applyBorder="1" applyAlignment="1" applyProtection="1">
      <alignment horizontal="center" wrapText="1"/>
      <protection hidden="1"/>
    </xf>
    <xf numFmtId="164" fontId="0" fillId="4" borderId="0" xfId="1" applyFont="1" applyFill="1" applyBorder="1" applyAlignment="1" applyProtection="1">
      <alignment horizontal="right"/>
      <protection locked="0"/>
    </xf>
    <xf numFmtId="164" fontId="4" fillId="4" borderId="0" xfId="1" applyFont="1" applyFill="1" applyProtection="1">
      <protection locked="0"/>
    </xf>
    <xf numFmtId="164" fontId="1" fillId="4" borderId="2" xfId="1" applyFont="1" applyFill="1" applyBorder="1" applyProtection="1">
      <protection locked="0"/>
    </xf>
    <xf numFmtId="0" fontId="0" fillId="5" borderId="9" xfId="0" applyFill="1" applyBorder="1" applyProtection="1">
      <protection hidden="1"/>
    </xf>
    <xf numFmtId="0" fontId="0" fillId="5" borderId="10" xfId="0" applyFill="1" applyBorder="1" applyProtection="1">
      <protection hidden="1"/>
    </xf>
    <xf numFmtId="0" fontId="1" fillId="5" borderId="11" xfId="0" applyFont="1" applyFill="1" applyBorder="1" applyProtection="1">
      <protection hidden="1"/>
    </xf>
    <xf numFmtId="0" fontId="0" fillId="5" borderId="12" xfId="0" applyFill="1" applyBorder="1" applyProtection="1">
      <protection hidden="1"/>
    </xf>
    <xf numFmtId="0" fontId="0" fillId="5" borderId="13" xfId="0" applyFill="1" applyBorder="1" applyProtection="1">
      <protection hidden="1"/>
    </xf>
    <xf numFmtId="0" fontId="1" fillId="5" borderId="0" xfId="0" applyFont="1" applyFill="1"/>
    <xf numFmtId="0" fontId="10" fillId="5" borderId="0" xfId="0" applyFont="1" applyFill="1"/>
    <xf numFmtId="0" fontId="1" fillId="4" borderId="0" xfId="0" applyFont="1" applyFill="1" applyAlignment="1" applyProtection="1">
      <alignment horizontal="right"/>
      <protection hidden="1"/>
    </xf>
    <xf numFmtId="167" fontId="0" fillId="4" borderId="0" xfId="1" applyNumberFormat="1" applyFont="1" applyFill="1"/>
    <xf numFmtId="0" fontId="19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406A77"/>
      <color rgb="FFCEE4EB"/>
      <color rgb="FF72B2C6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Payback Period: 18 Month Cashflow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'Graph Data'!$B$11</c:f>
              <c:strCache>
                <c:ptCount val="1"/>
                <c:pt idx="0">
                  <c:v>Cashflow</c:v>
                </c:pt>
              </c:strCache>
            </c:strRef>
          </c:tx>
          <c:spPr>
            <a:ln w="28575" cap="rnd">
              <a:solidFill>
                <a:srgbClr val="406A77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7.1247903095670903E-2"/>
                  <c:y val="-5.5517002081887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CF-4943-95E1-284EB5D2FED5}"/>
                </c:ext>
              </c:extLst>
            </c:dLbl>
            <c:dLbl>
              <c:idx val="17"/>
              <c:layout>
                <c:manualLayout>
                  <c:x val="-4.2748741857402642E-2"/>
                  <c:y val="-3.2384917881101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CF-4943-95E1-284EB5D2FE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'Graph Data'!$C$6:$T$6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'Graph Data'!$C$11:$T$11</c:f>
              <c:numCache>
                <c:formatCode>_-[$$-409]* #,##0_ ;_-[$$-409]* \-#,##0\ ;_-[$$-409]* "-"??_ ;_-@_ </c:formatCode>
                <c:ptCount val="18"/>
                <c:pt idx="0">
                  <c:v>-53751.944444444445</c:v>
                </c:pt>
                <c:pt idx="1">
                  <c:v>-12503.888888888891</c:v>
                </c:pt>
                <c:pt idx="2">
                  <c:v>28744.166666666664</c:v>
                </c:pt>
                <c:pt idx="3">
                  <c:v>69992.222222222219</c:v>
                </c:pt>
                <c:pt idx="4">
                  <c:v>111240.27777777778</c:v>
                </c:pt>
                <c:pt idx="5">
                  <c:v>152488.33333333334</c:v>
                </c:pt>
                <c:pt idx="6">
                  <c:v>193736.38888888891</c:v>
                </c:pt>
                <c:pt idx="7">
                  <c:v>234984.44444444447</c:v>
                </c:pt>
                <c:pt idx="8">
                  <c:v>276232.5</c:v>
                </c:pt>
                <c:pt idx="9">
                  <c:v>317480.55555555556</c:v>
                </c:pt>
                <c:pt idx="10">
                  <c:v>358728.61111111112</c:v>
                </c:pt>
                <c:pt idx="11">
                  <c:v>399976.66666666669</c:v>
                </c:pt>
                <c:pt idx="12">
                  <c:v>438287.125</c:v>
                </c:pt>
                <c:pt idx="13">
                  <c:v>481597.58333333331</c:v>
                </c:pt>
                <c:pt idx="14">
                  <c:v>524908.04166666663</c:v>
                </c:pt>
                <c:pt idx="15">
                  <c:v>568218.5</c:v>
                </c:pt>
                <c:pt idx="16">
                  <c:v>611528.95833333337</c:v>
                </c:pt>
                <c:pt idx="17">
                  <c:v>654839.41666666674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CF-4943-95E1-284EB5D2FED5}"/>
            </c:ext>
          </c:extLst>
        </c:ser>
        <c:ser>
          <c:idx val="1"/>
          <c:order val="1"/>
          <c:tx>
            <c:v>Payback Period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9747064333939289E-2"/>
                  <c:y val="-5.964670796054141E-2"/>
                </c:manualLayout>
              </c:layout>
              <c:showLegendKey val="0"/>
              <c:showVal val="0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CF-4943-95E1-284EB5D2FE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Results!$C$62</c:f>
              <c:numCache>
                <c:formatCode>_ * #,##0.0_ ;_ * \-#,##0.0_ ;_ * "-"??_ ;_ @_ </c:formatCode>
                <c:ptCount val="1"/>
                <c:pt idx="0">
                  <c:v>2.3031388684988516</c:v>
                </c:pt>
              </c:numCache>
            </c:numRef>
          </c:xVal>
          <c:yVal>
            <c:numRef>
              <c:f>Results!$D$62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CF-4943-95E1-284EB5D2F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6907775"/>
        <c:axId val="1996903935"/>
      </c:scatterChart>
      <c:valAx>
        <c:axId val="1996907775"/>
        <c:scaling>
          <c:orientation val="minMax"/>
          <c:max val="1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996903935"/>
        <c:crosses val="autoZero"/>
        <c:crossBetween val="midCat"/>
        <c:majorUnit val="1"/>
      </c:valAx>
      <c:valAx>
        <c:axId val="199690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9969077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Cumulative Net</a:t>
            </a:r>
            <a:r>
              <a:rPr lang="en-US" baseline="0"/>
              <a:t> </a:t>
            </a:r>
            <a:r>
              <a:rPr lang="en-US"/>
              <a:t>Profit: 5 Year Projection</a:t>
            </a:r>
          </a:p>
        </c:rich>
      </c:tx>
      <c:layout>
        <c:manualLayout>
          <c:xMode val="edge"/>
          <c:yMode val="edge"/>
          <c:x val="0.13955069093824174"/>
          <c:y val="2.88496268100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Results!$B$80</c:f>
              <c:strCache>
                <c:ptCount val="1"/>
                <c:pt idx="0">
                  <c:v>CUMULATIVE NET PROFIT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rgbClr val="406A77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A1-4FF0-B6D1-A0B75B4A6A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A1-4FF0-B6D1-A0B75B4A6A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A1-4FF0-B6D1-A0B75B4A6A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Results!$C$67:$G$67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Results!$C$80:$G$80</c:f>
              <c:numCache>
                <c:formatCode>_-[$$-409]* #,##0_ ;_-[$$-409]* \-#,##0\ ;_-[$$-409]* "-"??_ ;_-@_ </c:formatCode>
                <c:ptCount val="5"/>
                <c:pt idx="0">
                  <c:v>399976.66666666669</c:v>
                </c:pt>
                <c:pt idx="1">
                  <c:v>914702.16666666674</c:v>
                </c:pt>
                <c:pt idx="2">
                  <c:v>1455413.9416666669</c:v>
                </c:pt>
                <c:pt idx="3">
                  <c:v>2023411.3054166669</c:v>
                </c:pt>
                <c:pt idx="4">
                  <c:v>2620058.5373541666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6A1-4FF0-B6D1-A0B75B4A6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056527"/>
        <c:axId val="537062287"/>
      </c:lineChart>
      <c:catAx>
        <c:axId val="53705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537062287"/>
        <c:crosses val="autoZero"/>
        <c:auto val="1"/>
        <c:lblAlgn val="ctr"/>
        <c:lblOffset val="100"/>
        <c:noMultiLvlLbl val="0"/>
      </c:catAx>
      <c:valAx>
        <c:axId val="537062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53705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Net Profit: 5 Year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Results!$B$79</c:f>
              <c:strCache>
                <c:ptCount val="1"/>
                <c:pt idx="0">
                  <c:v>ANNUAL NET PROFIT</c:v>
                </c:pt>
              </c:strCache>
            </c:strRef>
          </c:tx>
          <c:spPr>
            <a:ln w="28575" cap="rnd">
              <a:solidFill>
                <a:srgbClr val="406A77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rgbClr val="406A7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343763037129745E-2"/>
                  <c:y val="4.3305657620848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4E-4873-8813-BA0BBFC0B7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4E-4873-8813-BA0BBFC0B7D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4E-4873-8813-BA0BBFC0B7D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4E-4873-8813-BA0BBFC0B7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Results!$C$67:$G$67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Results!$C$79:$G$79</c:f>
              <c:numCache>
                <c:formatCode>_-[$$-409]* #,##0_ ;_-[$$-409]* \-#,##0\ ;_-[$$-409]* "-"??_ ;_-@_ </c:formatCode>
                <c:ptCount val="5"/>
                <c:pt idx="0">
                  <c:v>399976.66666666669</c:v>
                </c:pt>
                <c:pt idx="1">
                  <c:v>514725.5</c:v>
                </c:pt>
                <c:pt idx="2">
                  <c:v>540711.77500000002</c:v>
                </c:pt>
                <c:pt idx="3">
                  <c:v>567997.36375000002</c:v>
                </c:pt>
                <c:pt idx="4">
                  <c:v>596647.23193749995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74E-4873-8813-BA0BBFC0B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981359"/>
        <c:axId val="2004965039"/>
      </c:lineChart>
      <c:catAx>
        <c:axId val="20049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2004965039"/>
        <c:crosses val="autoZero"/>
        <c:auto val="1"/>
        <c:lblAlgn val="ctr"/>
        <c:lblOffset val="100"/>
        <c:noMultiLvlLbl val="0"/>
      </c:catAx>
      <c:valAx>
        <c:axId val="2004965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2004981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Net </a:t>
            </a:r>
            <a:r>
              <a:rPr lang="en-US" baseline="0"/>
              <a:t>Profit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Data'!$B$21</c:f>
              <c:strCache>
                <c:ptCount val="1"/>
                <c:pt idx="0">
                  <c:v>Scenario 1: Premium Mix Uplift + Time Savings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'Graph Data'!$C$20:$G$20</c:f>
              <c:strCache>
                <c:ptCount val="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</c:strCache>
            </c:strRef>
          </c:cat>
          <c:val>
            <c:numRef>
              <c:f>'Graph Data'!$C$21:$G$21</c:f>
              <c:numCache>
                <c:formatCode>_ * #,##0_ ;_ * \-#,##0_ ;_ * "-"??_ ;_ @_ </c:formatCode>
                <c:ptCount val="5"/>
                <c:pt idx="0">
                  <c:v>399976.66666666669</c:v>
                </c:pt>
                <c:pt idx="1">
                  <c:v>514725.5</c:v>
                </c:pt>
                <c:pt idx="2">
                  <c:v>540711.77500000002</c:v>
                </c:pt>
                <c:pt idx="3">
                  <c:v>567997.36375000002</c:v>
                </c:pt>
                <c:pt idx="4">
                  <c:v>596647.23193750007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A-4690-A79A-05B0472B9054}"/>
            </c:ext>
          </c:extLst>
        </c:ser>
        <c:ser>
          <c:idx val="1"/>
          <c:order val="1"/>
          <c:tx>
            <c:strRef>
              <c:f>'Graph Data'!$B$22</c:f>
              <c:strCache>
                <c:ptCount val="1"/>
                <c:pt idx="0">
                  <c:v>Scenario 2: Premium Mix Uplift + Increased Premium (Current Split 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'Graph Data'!$C$20:$G$20</c:f>
              <c:strCache>
                <c:ptCount val="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</c:strCache>
            </c:strRef>
          </c:cat>
          <c:val>
            <c:numRef>
              <c:f>'Graph Data'!$C$22:$G$22</c:f>
              <c:numCache>
                <c:formatCode>_ * #,##0_ ;_ * \-#,##0_ ;_ * "-"??_ ;_ @_ </c:formatCode>
                <c:ptCount val="5"/>
                <c:pt idx="0">
                  <c:v>468662.17870257038</c:v>
                </c:pt>
                <c:pt idx="1">
                  <c:v>586845.28763769893</c:v>
                </c:pt>
                <c:pt idx="2">
                  <c:v>616437.55201958388</c:v>
                </c:pt>
                <c:pt idx="3">
                  <c:v>647509.42962056305</c:v>
                </c:pt>
                <c:pt idx="4">
                  <c:v>680134.9011015913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A-4690-A79A-05B0472B9054}"/>
            </c:ext>
          </c:extLst>
        </c:ser>
        <c:ser>
          <c:idx val="2"/>
          <c:order val="2"/>
          <c:tx>
            <c:strRef>
              <c:f>'Graph Data'!$B$23</c:f>
              <c:strCache>
                <c:ptCount val="1"/>
                <c:pt idx="0">
                  <c:v>Scenario 3: Premium Mix Uplift + Increased Premium (Desired Split 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'Graph Data'!$C$20:$G$20</c:f>
              <c:strCache>
                <c:ptCount val="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</c:strCache>
            </c:strRef>
          </c:cat>
          <c:val>
            <c:numRef>
              <c:f>'Graph Data'!$C$23:$G$23</c:f>
              <c:numCache>
                <c:formatCode>_ * #,##0_ ;_ * \-#,##0_ ;_ * "-"??_ ;_ @_ </c:formatCode>
                <c:ptCount val="5"/>
                <c:pt idx="0">
                  <c:v>552324.35740514076</c:v>
                </c:pt>
                <c:pt idx="1">
                  <c:v>674690.57527539786</c:v>
                </c:pt>
                <c:pt idx="2">
                  <c:v>708675.10403916775</c:v>
                </c:pt>
                <c:pt idx="3">
                  <c:v>744358.85924112611</c:v>
                </c:pt>
                <c:pt idx="4">
                  <c:v>781826.8022031826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EA-4690-A79A-05B0472B9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481695"/>
        <c:axId val="1762493695"/>
      </c:lineChart>
      <c:catAx>
        <c:axId val="176248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762493695"/>
        <c:crosses val="autoZero"/>
        <c:auto val="1"/>
        <c:lblAlgn val="ctr"/>
        <c:lblOffset val="100"/>
        <c:noMultiLvlLbl val="0"/>
      </c:catAx>
      <c:valAx>
        <c:axId val="176249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762481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Cumulative</a:t>
            </a:r>
            <a:r>
              <a:rPr lang="en-US" baseline="0"/>
              <a:t> </a:t>
            </a:r>
            <a:r>
              <a:rPr lang="en-US"/>
              <a:t>Profit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Data'!$B$26</c:f>
              <c:strCache>
                <c:ptCount val="1"/>
                <c:pt idx="0">
                  <c:v>Scenario 1: Premium Mix Uplift + Time Savings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'Graph Data'!$C$25:$G$25</c:f>
              <c:strCache>
                <c:ptCount val="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</c:strCache>
            </c:strRef>
          </c:cat>
          <c:val>
            <c:numRef>
              <c:f>'Graph Data'!$C$26:$G$26</c:f>
              <c:numCache>
                <c:formatCode>_ * #,##0_ ;_ * \-#,##0_ ;_ * "-"??_ ;_ @_ </c:formatCode>
                <c:ptCount val="5"/>
                <c:pt idx="0">
                  <c:v>399976.66666666669</c:v>
                </c:pt>
                <c:pt idx="1">
                  <c:v>914702.16666666674</c:v>
                </c:pt>
                <c:pt idx="2">
                  <c:v>1455413.9416666669</c:v>
                </c:pt>
                <c:pt idx="3">
                  <c:v>2023411.3054166669</c:v>
                </c:pt>
                <c:pt idx="4">
                  <c:v>2620058.5373541671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D-4A2C-88AF-1790A44A8527}"/>
            </c:ext>
          </c:extLst>
        </c:ser>
        <c:ser>
          <c:idx val="1"/>
          <c:order val="1"/>
          <c:tx>
            <c:strRef>
              <c:f>'Graph Data'!$B$27</c:f>
              <c:strCache>
                <c:ptCount val="1"/>
                <c:pt idx="0">
                  <c:v>Scenario 2: Premium Mix Uplift + Increased Premium (Current Split 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'Graph Data'!$C$25:$G$25</c:f>
              <c:strCache>
                <c:ptCount val="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</c:strCache>
            </c:strRef>
          </c:cat>
          <c:val>
            <c:numRef>
              <c:f>'Graph Data'!$C$27:$G$27</c:f>
              <c:numCache>
                <c:formatCode>_ * #,##0_ ;_ * \-#,##0_ ;_ * "-"??_ ;_ @_ </c:formatCode>
                <c:ptCount val="5"/>
                <c:pt idx="0">
                  <c:v>468662.17870257038</c:v>
                </c:pt>
                <c:pt idx="1">
                  <c:v>1055507.4663402694</c:v>
                </c:pt>
                <c:pt idx="2">
                  <c:v>1671945.0183598534</c:v>
                </c:pt>
                <c:pt idx="3">
                  <c:v>2319454.4479804165</c:v>
                </c:pt>
                <c:pt idx="4">
                  <c:v>2999589.349082008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D-4A2C-88AF-1790A44A8527}"/>
            </c:ext>
          </c:extLst>
        </c:ser>
        <c:ser>
          <c:idx val="2"/>
          <c:order val="2"/>
          <c:tx>
            <c:strRef>
              <c:f>'Graph Data'!$B$28</c:f>
              <c:strCache>
                <c:ptCount val="1"/>
                <c:pt idx="0">
                  <c:v>Scenario 3: Premium Mix Uplift + Increased Premium (Desired Split 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'Graph Data'!$C$25:$G$25</c:f>
              <c:strCache>
                <c:ptCount val="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</c:strCache>
            </c:strRef>
          </c:cat>
          <c:val>
            <c:numRef>
              <c:f>'Graph Data'!$C$28:$G$28</c:f>
              <c:numCache>
                <c:formatCode>_ * #,##0_ ;_ * \-#,##0_ ;_ * "-"??_ ;_ @_ </c:formatCode>
                <c:ptCount val="5"/>
                <c:pt idx="0">
                  <c:v>552324.35740514076</c:v>
                </c:pt>
                <c:pt idx="1">
                  <c:v>1227014.9326805386</c:v>
                </c:pt>
                <c:pt idx="2">
                  <c:v>1935690.0367197064</c:v>
                </c:pt>
                <c:pt idx="3">
                  <c:v>2680048.8959608325</c:v>
                </c:pt>
                <c:pt idx="4">
                  <c:v>3461875.6981640151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D-4A2C-88AF-1790A44A8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3279"/>
        <c:axId val="70958479"/>
      </c:lineChart>
      <c:catAx>
        <c:axId val="70963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70958479"/>
        <c:crosses val="autoZero"/>
        <c:auto val="1"/>
        <c:lblAlgn val="ctr"/>
        <c:lblOffset val="100"/>
        <c:noMultiLvlLbl val="0"/>
      </c:catAx>
      <c:valAx>
        <c:axId val="70958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70963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Payback Period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7.2801263693377305E-2"/>
          <c:y val="0.15570948782535687"/>
          <c:w val="0.90632346849736578"/>
          <c:h val="0.619676246524967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'Graph Data'!$B$41</c:f>
              <c:strCache>
                <c:ptCount val="1"/>
                <c:pt idx="0">
                  <c:v>Scenario 1: Premium Mix Uplift + Time Savings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'Graph Data'!$C$6:$T$6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'Graph Data'!$C$41:$T$41</c:f>
              <c:numCache>
                <c:formatCode>_ * #,##0_ ;_ * \-#,##0_ ;_ * "-"??_ ;_ @_ </c:formatCode>
                <c:ptCount val="18"/>
                <c:pt idx="0">
                  <c:v>-53751.944444444445</c:v>
                </c:pt>
                <c:pt idx="1">
                  <c:v>-12503.888888888891</c:v>
                </c:pt>
                <c:pt idx="2">
                  <c:v>28744.166666666664</c:v>
                </c:pt>
                <c:pt idx="3">
                  <c:v>69992.222222222219</c:v>
                </c:pt>
                <c:pt idx="4">
                  <c:v>111240.27777777778</c:v>
                </c:pt>
                <c:pt idx="5">
                  <c:v>152488.33333333334</c:v>
                </c:pt>
                <c:pt idx="6">
                  <c:v>193736.38888888891</c:v>
                </c:pt>
                <c:pt idx="7">
                  <c:v>234984.44444444447</c:v>
                </c:pt>
                <c:pt idx="8">
                  <c:v>276232.5</c:v>
                </c:pt>
                <c:pt idx="9">
                  <c:v>317480.55555555556</c:v>
                </c:pt>
                <c:pt idx="10">
                  <c:v>358728.61111111112</c:v>
                </c:pt>
                <c:pt idx="11">
                  <c:v>399976.66666666669</c:v>
                </c:pt>
                <c:pt idx="12">
                  <c:v>438287.125</c:v>
                </c:pt>
                <c:pt idx="13">
                  <c:v>481597.58333333331</c:v>
                </c:pt>
                <c:pt idx="14">
                  <c:v>524908.04166666663</c:v>
                </c:pt>
                <c:pt idx="15">
                  <c:v>568218.5</c:v>
                </c:pt>
                <c:pt idx="16">
                  <c:v>611528.95833333337</c:v>
                </c:pt>
                <c:pt idx="17">
                  <c:v>654839.41666666674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42-4E8C-8188-02AAA9FD496F}"/>
            </c:ext>
          </c:extLst>
        </c:ser>
        <c:ser>
          <c:idx val="1"/>
          <c:order val="1"/>
          <c:tx>
            <c:strRef>
              <c:f>'Graph Data'!$B$42</c:f>
              <c:strCache>
                <c:ptCount val="1"/>
                <c:pt idx="0">
                  <c:v>Scenario 2: Premium Mix Uplift + Increased Premium (Current Split %)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'Graph Data'!$C$6:$T$6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'Graph Data'!$C$42:$T$42</c:f>
              <c:numCache>
                <c:formatCode>_ * #,##0_ ;_ * \-#,##0_ ;_ * "-"??_ ;_ @_ </c:formatCode>
                <c:ptCount val="18"/>
                <c:pt idx="0">
                  <c:v>-48028.151774785802</c:v>
                </c:pt>
                <c:pt idx="1">
                  <c:v>-1056.3035495716031</c:v>
                </c:pt>
                <c:pt idx="2">
                  <c:v>45915.544675642595</c:v>
                </c:pt>
                <c:pt idx="3">
                  <c:v>92887.392900856794</c:v>
                </c:pt>
                <c:pt idx="4">
                  <c:v>139859.24112607099</c:v>
                </c:pt>
                <c:pt idx="5">
                  <c:v>186831.08935128519</c:v>
                </c:pt>
                <c:pt idx="6">
                  <c:v>233802.93757649939</c:v>
                </c:pt>
                <c:pt idx="7">
                  <c:v>280774.78580171359</c:v>
                </c:pt>
                <c:pt idx="8">
                  <c:v>327746.63402692776</c:v>
                </c:pt>
                <c:pt idx="9">
                  <c:v>374718.48225214193</c:v>
                </c:pt>
                <c:pt idx="10">
                  <c:v>421690.3304773561</c:v>
                </c:pt>
                <c:pt idx="11">
                  <c:v>468662.17870257027</c:v>
                </c:pt>
                <c:pt idx="12">
                  <c:v>512982.6193390452</c:v>
                </c:pt>
                <c:pt idx="13">
                  <c:v>562303.05997552013</c:v>
                </c:pt>
                <c:pt idx="14">
                  <c:v>611623.500611995</c:v>
                </c:pt>
                <c:pt idx="15">
                  <c:v>660943.94124846987</c:v>
                </c:pt>
                <c:pt idx="16">
                  <c:v>710264.38188494474</c:v>
                </c:pt>
                <c:pt idx="17">
                  <c:v>759584.82252141961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42-4E8C-8188-02AAA9FD496F}"/>
            </c:ext>
          </c:extLst>
        </c:ser>
        <c:ser>
          <c:idx val="2"/>
          <c:order val="2"/>
          <c:tx>
            <c:strRef>
              <c:f>'Graph Data'!$B$43</c:f>
              <c:strCache>
                <c:ptCount val="1"/>
                <c:pt idx="0">
                  <c:v>Scenario 3: Premium Mix Uplift + Increased Premium (Desired Split %)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'Graph Data'!$C$6:$T$6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'Graph Data'!$C$43:$T$43</c:f>
              <c:numCache>
                <c:formatCode>_ * #,##0_ ;_ * \-#,##0_ ;_ * "-"??_ ;_ @_ </c:formatCode>
                <c:ptCount val="18"/>
                <c:pt idx="0">
                  <c:v>-41056.303549571603</c:v>
                </c:pt>
                <c:pt idx="1">
                  <c:v>12887.392900856794</c:v>
                </c:pt>
                <c:pt idx="2">
                  <c:v>66831.089351285191</c:v>
                </c:pt>
                <c:pt idx="3">
                  <c:v>120774.78580171359</c:v>
                </c:pt>
                <c:pt idx="4">
                  <c:v>174718.48225214198</c:v>
                </c:pt>
                <c:pt idx="5">
                  <c:v>228662.17870257038</c:v>
                </c:pt>
                <c:pt idx="6">
                  <c:v>282605.87515299878</c:v>
                </c:pt>
                <c:pt idx="7">
                  <c:v>336549.57160342718</c:v>
                </c:pt>
                <c:pt idx="8">
                  <c:v>390493.26805385557</c:v>
                </c:pt>
                <c:pt idx="9">
                  <c:v>444436.96450428397</c:v>
                </c:pt>
                <c:pt idx="10">
                  <c:v>498380.66095471237</c:v>
                </c:pt>
                <c:pt idx="11">
                  <c:v>552324.35740514076</c:v>
                </c:pt>
                <c:pt idx="12">
                  <c:v>603965.23867809062</c:v>
                </c:pt>
                <c:pt idx="13">
                  <c:v>660606.11995104048</c:v>
                </c:pt>
                <c:pt idx="14">
                  <c:v>717247.00122399034</c:v>
                </c:pt>
                <c:pt idx="15">
                  <c:v>773887.8824969402</c:v>
                </c:pt>
                <c:pt idx="16">
                  <c:v>830528.76376989007</c:v>
                </c:pt>
                <c:pt idx="17">
                  <c:v>887169.64504283993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42-4E8C-8188-02AAA9FD496F}"/>
            </c:ext>
          </c:extLst>
        </c:ser>
        <c:ser>
          <c:idx val="3"/>
          <c:order val="3"/>
          <c:tx>
            <c:v>Payback Period Sc. 1</c:v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7.3194404715305167E-2"/>
                  <c:y val="-0.22047839073431691"/>
                </c:manualLayout>
              </c:layout>
              <c:showLegendKey val="0"/>
              <c:showVal val="0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42-4E8C-8188-02AAA9FD49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'Graph Data'!$C$46</c:f>
              <c:numCache>
                <c:formatCode>_ * #,##0.0_ ;_ * \-#,##0.0_ ;_ * "-"??_ ;_ @_ </c:formatCode>
                <c:ptCount val="1"/>
                <c:pt idx="0">
                  <c:v>2.3031388684988516</c:v>
                </c:pt>
              </c:numCache>
            </c:numRef>
          </c:xVal>
          <c:yVal>
            <c:numRef>
              <c:f>'Graph Data'!$D$46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42-4E8C-8188-02AAA9FD496F}"/>
            </c:ext>
          </c:extLst>
        </c:ser>
        <c:ser>
          <c:idx val="4"/>
          <c:order val="4"/>
          <c:tx>
            <c:v>Payback Period Sc. 2</c:v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688168076842013E-3"/>
                  <c:y val="-0.14947687507411317"/>
                </c:manualLayout>
              </c:layout>
              <c:showLegendKey val="0"/>
              <c:showVal val="0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42-4E8C-8188-02AAA9FD49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'Graph Data'!$C$47</c:f>
              <c:numCache>
                <c:formatCode>_ * #,##0.0_ ;_ * \-#,##0.0_ ;_ * "-"??_ ;_ @_ </c:formatCode>
                <c:ptCount val="1"/>
                <c:pt idx="0">
                  <c:v>2.0224880133416718</c:v>
                </c:pt>
              </c:numCache>
            </c:numRef>
          </c:xVal>
          <c:yVal>
            <c:numRef>
              <c:f>'Graph Data'!$D$47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342-4E8C-8188-02AAA9FD496F}"/>
            </c:ext>
          </c:extLst>
        </c:ser>
        <c:ser>
          <c:idx val="5"/>
          <c:order val="5"/>
          <c:tx>
            <c:v>Payback Period Sc. 3</c:v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5144511607599907E-2"/>
                  <c:y val="-7.1001515660203754E-2"/>
                </c:manualLayout>
              </c:layout>
              <c:showLegendKey val="0"/>
              <c:showVal val="0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42-4E8C-8188-02AAA9FD49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'Graph Data'!$C$48</c:f>
              <c:numCache>
                <c:formatCode>_ * #,##0.0_ ;_ * \-#,##0.0_ ;_ * "-"??_ ;_ @_ </c:formatCode>
                <c:ptCount val="1"/>
                <c:pt idx="0">
                  <c:v>1.7610954801234344</c:v>
                </c:pt>
              </c:numCache>
            </c:numRef>
          </c:xVal>
          <c:yVal>
            <c:numRef>
              <c:f>'Graph Data'!$D$48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342-4E8C-8188-02AAA9FD4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4987119"/>
        <c:axId val="2004987599"/>
      </c:scatterChart>
      <c:valAx>
        <c:axId val="200498711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2004987599"/>
        <c:crosses val="autoZero"/>
        <c:crossBetween val="midCat"/>
      </c:valAx>
      <c:valAx>
        <c:axId val="20049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2004987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198560663199509E-2"/>
          <c:y val="0.81389100033569373"/>
          <c:w val="0.8150612748788052"/>
          <c:h val="0.183577611306572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2</xdr:row>
      <xdr:rowOff>65148</xdr:rowOff>
    </xdr:from>
    <xdr:to>
      <xdr:col>9</xdr:col>
      <xdr:colOff>288335</xdr:colOff>
      <xdr:row>4</xdr:row>
      <xdr:rowOff>140113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53F5A7-3C5F-48D2-9E2D-3969D5210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1850" y="427098"/>
          <a:ext cx="1616120" cy="442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411480</xdr:colOff>
      <xdr:row>23</xdr:row>
      <xdr:rowOff>87608</xdr:rowOff>
    </xdr:from>
    <xdr:to>
      <xdr:col>6</xdr:col>
      <xdr:colOff>151265</xdr:colOff>
      <xdr:row>24</xdr:row>
      <xdr:rowOff>149638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437CA3-1C6C-4249-A9BE-74DEF806D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2655" y="4240508"/>
          <a:ext cx="844685" cy="243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855345</xdr:colOff>
      <xdr:row>82</xdr:row>
      <xdr:rowOff>160020</xdr:rowOff>
    </xdr:from>
    <xdr:to>
      <xdr:col>7</xdr:col>
      <xdr:colOff>553220</xdr:colOff>
      <xdr:row>84</xdr:row>
      <xdr:rowOff>37265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2B92425-5E25-4A6F-9A3D-9953BFE2B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94370" y="14799945"/>
          <a:ext cx="880880" cy="23919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14</xdr:row>
      <xdr:rowOff>142875</xdr:rowOff>
    </xdr:from>
    <xdr:to>
      <xdr:col>7</xdr:col>
      <xdr:colOff>511493</xdr:colOff>
      <xdr:row>29</xdr:row>
      <xdr:rowOff>173355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B09C11-E449-406A-BB0E-07D24DD56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1104900</xdr:colOff>
      <xdr:row>31</xdr:row>
      <xdr:rowOff>5715</xdr:rowOff>
    </xdr:from>
    <xdr:to>
      <xdr:col>7</xdr:col>
      <xdr:colOff>474345</xdr:colOff>
      <xdr:row>45</xdr:row>
      <xdr:rowOff>96202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908A38-E437-4872-855C-7D7D8DFA0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12383</xdr:rowOff>
    </xdr:from>
    <xdr:to>
      <xdr:col>3</xdr:col>
      <xdr:colOff>912495</xdr:colOff>
      <xdr:row>45</xdr:row>
      <xdr:rowOff>125731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DBEB569-E834-40A8-A44A-0E9344FC7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1162049</xdr:colOff>
      <xdr:row>26</xdr:row>
      <xdr:rowOff>116205</xdr:rowOff>
    </xdr:from>
    <xdr:to>
      <xdr:col>7</xdr:col>
      <xdr:colOff>435614</xdr:colOff>
      <xdr:row>27</xdr:row>
      <xdr:rowOff>79230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C40993F-9465-5A26-9DED-64CB61E26861}"/>
            </a:ext>
          </a:extLst>
        </xdr:cNvPr>
        <xdr:cNvSpPr txBox="1"/>
      </xdr:nvSpPr>
      <xdr:spPr>
        <a:xfrm>
          <a:off x="8601074" y="4773930"/>
          <a:ext cx="464190" cy="1440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pPr algn="ctr"/>
          <a:r>
            <a:rPr lang="en-US" sz="1000">
              <a:solidFill>
                <a:schemeClr val="bg1">
                  <a:lumMod val="50000"/>
                </a:schemeClr>
              </a:solidFill>
            </a:rPr>
            <a:t>Months</a:t>
          </a:r>
          <a:endParaRPr lang="en-NL" sz="10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2914650</xdr:colOff>
      <xdr:row>17</xdr:row>
      <xdr:rowOff>179070</xdr:rowOff>
    </xdr:from>
    <xdr:to>
      <xdr:col>8</xdr:col>
      <xdr:colOff>206510</xdr:colOff>
      <xdr:row>19</xdr:row>
      <xdr:rowOff>54410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4F224E-7848-4DD1-B1B0-994E378E3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96100" y="3255645"/>
          <a:ext cx="863735" cy="237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28</xdr:row>
      <xdr:rowOff>47625</xdr:rowOff>
    </xdr:from>
    <xdr:to>
      <xdr:col>6</xdr:col>
      <xdr:colOff>475115</xdr:colOff>
      <xdr:row>29</xdr:row>
      <xdr:rowOff>98225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CFD470-AD36-4702-ADA5-1AF7C6BF3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34350" y="5114925"/>
          <a:ext cx="856115" cy="2353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</xdr:colOff>
      <xdr:row>4</xdr:row>
      <xdr:rowOff>16192</xdr:rowOff>
    </xdr:from>
    <xdr:to>
      <xdr:col>1</xdr:col>
      <xdr:colOff>4191000</xdr:colOff>
      <xdr:row>19</xdr:row>
      <xdr:rowOff>58102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E91B2E-5609-D70F-B55C-AE054A59F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123825</xdr:colOff>
      <xdr:row>4</xdr:row>
      <xdr:rowOff>21907</xdr:rowOff>
    </xdr:from>
    <xdr:to>
      <xdr:col>6</xdr:col>
      <xdr:colOff>81915</xdr:colOff>
      <xdr:row>19</xdr:row>
      <xdr:rowOff>54292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FAF303-10B1-862E-3FEA-D5E9EF6CE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19</xdr:row>
      <xdr:rowOff>135256</xdr:rowOff>
    </xdr:from>
    <xdr:to>
      <xdr:col>6</xdr:col>
      <xdr:colOff>93346</xdr:colOff>
      <xdr:row>38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34DDE6-1F7D-4F84-A0EA-1A3AF7738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662940</xdr:colOff>
      <xdr:row>39</xdr:row>
      <xdr:rowOff>163830</xdr:rowOff>
    </xdr:from>
    <xdr:to>
      <xdr:col>7</xdr:col>
      <xdr:colOff>97589</xdr:colOff>
      <xdr:row>41</xdr:row>
      <xdr:rowOff>27964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68D7F98-6238-539D-CDF8-3550D6AC3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44840" y="7240905"/>
          <a:ext cx="853874" cy="22608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79114</xdr:colOff>
      <xdr:row>48</xdr:row>
      <xdr:rowOff>67235</xdr:rowOff>
    </xdr:from>
    <xdr:to>
      <xdr:col>20</xdr:col>
      <xdr:colOff>247524</xdr:colOff>
      <xdr:row>49</xdr:row>
      <xdr:rowOff>131169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F3B374-17E7-49BE-ACE4-E83410D8B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3173" y="8695764"/>
          <a:ext cx="855779" cy="23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39A6E-8773-4E5F-BF3F-2276006FB60E}">
  <sheetPr>
    <tabColor rgb="FF72B2C6"/>
  </sheetPr>
  <dimension ref="B11:J26"/>
  <sheetViews>
    <sheetView showGridLines="0" view="pageBreakPreview" zoomScale="115" zoomScaleNormal="100" zoomScaleSheetLayoutView="115" workbookViewId="0">
      <selection activeCell="H19" sqref="H19"/>
    </sheetView>
  </sheetViews>
  <sheetFormatPr defaultRowHeight="14.45"/>
  <cols>
    <col min="1" max="1" width="1.28515625" customWidth="1"/>
    <col min="2" max="2" width="2.7109375" customWidth="1"/>
    <col min="4" max="4" width="11.140625" bestFit="1" customWidth="1"/>
  </cols>
  <sheetData>
    <row r="11" spans="2:10" ht="30.6" customHeight="1">
      <c r="B11" s="148" t="s">
        <v>0</v>
      </c>
      <c r="C11" s="148"/>
      <c r="D11" s="148"/>
      <c r="E11" s="148"/>
      <c r="F11" s="148"/>
      <c r="G11" s="148"/>
      <c r="H11" s="148"/>
      <c r="I11" s="148"/>
      <c r="J11" s="148"/>
    </row>
    <row r="26" spans="3:4">
      <c r="C26" s="12"/>
      <c r="D26" s="13"/>
    </row>
  </sheetData>
  <sheetProtection algorithmName="SHA-512" hashValue="apyUIW3NtCQcOTmin2jRM4VRCQpffgnWIb4D+uVQQhdNwAAhqBjDUc9CENG7ZOR0dJe25Zkl/fJ1gV6GDSkslA==" saltValue="659l5zC4YWAMhTeOgxjDcw==" spinCount="100000" sheet="1" objects="1" scenarios="1"/>
  <mergeCells count="1">
    <mergeCell ref="B11:J1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7AFA-AE6D-418E-A22B-891542FFCE02}">
  <dimension ref="B3:F15"/>
  <sheetViews>
    <sheetView showGridLines="0" workbookViewId="0">
      <selection activeCell="C14" sqref="C14"/>
    </sheetView>
  </sheetViews>
  <sheetFormatPr defaultColWidth="11.5703125" defaultRowHeight="15.6"/>
  <cols>
    <col min="1" max="1" width="11.5703125" style="3"/>
    <col min="2" max="2" width="25.42578125" style="1" bestFit="1" customWidth="1"/>
    <col min="3" max="16384" width="11.5703125" style="3"/>
  </cols>
  <sheetData>
    <row r="3" spans="2:6">
      <c r="C3" s="2" t="s">
        <v>137</v>
      </c>
      <c r="D3" s="2" t="s">
        <v>138</v>
      </c>
      <c r="E3" s="2" t="s">
        <v>139</v>
      </c>
      <c r="F3" s="2" t="s">
        <v>140</v>
      </c>
    </row>
    <row r="4" spans="2:6">
      <c r="B4" s="1" t="s">
        <v>141</v>
      </c>
      <c r="C4" s="8">
        <v>1000</v>
      </c>
      <c r="D4" s="8">
        <v>1000</v>
      </c>
      <c r="E4" s="4"/>
      <c r="F4" s="4"/>
    </row>
    <row r="5" spans="2:6">
      <c r="B5" s="1" t="s">
        <v>142</v>
      </c>
      <c r="C5" s="9">
        <v>0.25</v>
      </c>
      <c r="D5" s="9">
        <v>0.35</v>
      </c>
      <c r="E5" s="5">
        <f>D5-C5</f>
        <v>9.9999999999999978E-2</v>
      </c>
      <c r="F5" s="5"/>
    </row>
    <row r="6" spans="2:6">
      <c r="B6" s="1" t="s">
        <v>143</v>
      </c>
      <c r="C6" s="10">
        <f>C4*C5</f>
        <v>250</v>
      </c>
      <c r="D6" s="10">
        <f>D4*D5</f>
        <v>350</v>
      </c>
      <c r="E6" s="6">
        <f>D6-C6</f>
        <v>100</v>
      </c>
      <c r="F6" s="5"/>
    </row>
    <row r="7" spans="2:6">
      <c r="B7" s="1" t="s">
        <v>144</v>
      </c>
      <c r="C7" s="11">
        <v>3000</v>
      </c>
      <c r="D7" s="11">
        <v>3000</v>
      </c>
      <c r="E7" s="4"/>
      <c r="F7" s="4"/>
    </row>
    <row r="8" spans="2:6">
      <c r="B8" s="1" t="s">
        <v>145</v>
      </c>
      <c r="C8" s="9">
        <v>0.4</v>
      </c>
      <c r="D8" s="9">
        <v>0.4</v>
      </c>
      <c r="E8" s="4"/>
      <c r="F8" s="4"/>
    </row>
    <row r="9" spans="2:6">
      <c r="B9" s="1" t="s">
        <v>146</v>
      </c>
      <c r="C9" s="7">
        <f>C4*C5*C7*C8</f>
        <v>300000</v>
      </c>
      <c r="D9" s="7">
        <f>D4*D5*D7*D8</f>
        <v>420000</v>
      </c>
      <c r="E9" s="7">
        <f>D9-C9</f>
        <v>120000</v>
      </c>
      <c r="F9" s="5">
        <f>E9/C9</f>
        <v>0.4</v>
      </c>
    </row>
    <row r="10" spans="2:6">
      <c r="B10" s="1" t="s">
        <v>147</v>
      </c>
      <c r="C10" s="7"/>
      <c r="D10" s="7">
        <v>80000</v>
      </c>
    </row>
    <row r="11" spans="2:6">
      <c r="B11" s="1" t="s">
        <v>148</v>
      </c>
      <c r="C11" s="5"/>
      <c r="D11" s="5">
        <f>E9/D10</f>
        <v>1.5</v>
      </c>
    </row>
    <row r="15" spans="2:6">
      <c r="B15" s="1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B382-C64F-4BF6-8476-609F1A7FF773}">
  <sheetPr>
    <tabColor rgb="FFCEE4EB"/>
    <outlinePr summaryBelow="0" summaryRight="0"/>
  </sheetPr>
  <dimension ref="A1:U26"/>
  <sheetViews>
    <sheetView showGridLines="0" tabSelected="1" workbookViewId="0">
      <selection activeCell="E16" sqref="E16"/>
    </sheetView>
  </sheetViews>
  <sheetFormatPr defaultColWidth="0" defaultRowHeight="14.45" zeroHeight="1"/>
  <cols>
    <col min="1" max="1" width="2.7109375" customWidth="1"/>
    <col min="2" max="2" width="44.42578125" style="20" bestFit="1" customWidth="1"/>
    <col min="3" max="4" width="17.28515625" customWidth="1"/>
    <col min="5" max="5" width="11.85546875" style="16" customWidth="1"/>
    <col min="6" max="6" width="4.140625" customWidth="1"/>
    <col min="7" max="7" width="3.85546875" customWidth="1"/>
    <col min="8" max="9" width="8.85546875" hidden="1" customWidth="1"/>
    <col min="10" max="16" width="11.42578125" hidden="1" customWidth="1"/>
    <col min="17" max="21" width="12.5703125" hidden="1" customWidth="1"/>
    <col min="22" max="16384" width="8.85546875" hidden="1"/>
  </cols>
  <sheetData>
    <row r="1" spans="2:6"/>
    <row r="2" spans="2:6" ht="14.65" customHeight="1">
      <c r="B2" s="33" t="s">
        <v>1</v>
      </c>
      <c r="C2" s="25"/>
      <c r="D2" s="25"/>
      <c r="E2" s="26"/>
    </row>
    <row r="3" spans="2:6">
      <c r="E3"/>
    </row>
    <row r="4" spans="2:6">
      <c r="B4" s="30" t="s">
        <v>2</v>
      </c>
      <c r="C4" s="31"/>
      <c r="D4" s="31"/>
      <c r="E4" s="31"/>
    </row>
    <row r="5" spans="2:6">
      <c r="B5" s="32" t="s">
        <v>3</v>
      </c>
      <c r="E5"/>
    </row>
    <row r="6" spans="2:6" ht="13.9" customHeight="1">
      <c r="E6"/>
    </row>
    <row r="7" spans="2:6">
      <c r="B7" s="24" t="s">
        <v>4</v>
      </c>
      <c r="C7" s="17"/>
      <c r="D7" s="17"/>
    </row>
    <row r="8" spans="2:6">
      <c r="B8" s="21" t="s">
        <v>5</v>
      </c>
      <c r="C8" s="124">
        <v>2000</v>
      </c>
      <c r="D8" s="17"/>
      <c r="F8" s="20"/>
    </row>
    <row r="9" spans="2:6">
      <c r="B9" s="72" t="s">
        <v>6</v>
      </c>
      <c r="C9" s="125">
        <v>0.2</v>
      </c>
      <c r="D9" s="17"/>
    </row>
    <row r="10" spans="2:6">
      <c r="B10" s="21" t="s">
        <v>7</v>
      </c>
      <c r="C10" s="23">
        <f>C8*C9</f>
        <v>400</v>
      </c>
      <c r="D10" s="17"/>
    </row>
    <row r="11" spans="2:6">
      <c r="B11" s="18"/>
      <c r="C11" s="17"/>
      <c r="D11" s="17"/>
    </row>
    <row r="12" spans="2:6">
      <c r="B12" s="21" t="s">
        <v>8</v>
      </c>
      <c r="C12" s="126">
        <v>0.05</v>
      </c>
      <c r="D12" s="17"/>
    </row>
    <row r="13" spans="2:6">
      <c r="B13" s="18"/>
      <c r="C13" s="17"/>
      <c r="D13" s="17"/>
    </row>
    <row r="14" spans="2:6">
      <c r="B14" s="24" t="s">
        <v>9</v>
      </c>
      <c r="C14" s="17"/>
      <c r="D14" s="17"/>
    </row>
    <row r="15" spans="2:6">
      <c r="B15" s="21" t="s">
        <v>10</v>
      </c>
      <c r="C15" s="127">
        <v>3000</v>
      </c>
      <c r="D15" s="17"/>
    </row>
    <row r="16" spans="2:6">
      <c r="B16" s="21" t="s">
        <v>11</v>
      </c>
      <c r="C16" s="128">
        <v>0.4</v>
      </c>
      <c r="D16" s="17"/>
    </row>
    <row r="17" spans="2:4">
      <c r="B17" s="18"/>
      <c r="C17" s="17"/>
      <c r="D17" s="17"/>
    </row>
    <row r="18" spans="2:4">
      <c r="B18" s="24" t="s">
        <v>12</v>
      </c>
      <c r="C18" s="17"/>
      <c r="D18" s="17"/>
    </row>
    <row r="19" spans="2:4">
      <c r="B19" s="21" t="s">
        <v>13</v>
      </c>
      <c r="C19" s="127">
        <v>25</v>
      </c>
      <c r="D19" s="17"/>
    </row>
    <row r="20" spans="2:4">
      <c r="B20" s="21" t="s">
        <v>14</v>
      </c>
      <c r="C20" s="127">
        <v>500</v>
      </c>
      <c r="D20" s="17"/>
    </row>
    <row r="21" spans="2:4">
      <c r="B21" s="19"/>
      <c r="C21" s="22"/>
      <c r="D21" s="17"/>
    </row>
    <row r="22" spans="2:4">
      <c r="B22" s="21" t="s">
        <v>15</v>
      </c>
      <c r="C22" s="127">
        <v>5000</v>
      </c>
      <c r="D22" s="17"/>
    </row>
    <row r="23" spans="2:4">
      <c r="B23" s="21" t="s">
        <v>16</v>
      </c>
      <c r="C23" s="129">
        <v>90000</v>
      </c>
      <c r="D23" s="17"/>
    </row>
    <row r="24" spans="2:4"/>
    <row r="25" spans="2:4"/>
    <row r="26" spans="2:4" hidden="1">
      <c r="B26" s="71"/>
    </row>
  </sheetData>
  <sheetProtection algorithmName="SHA-512" hashValue="ury3PmqzBbJe5f4JFx5+xz6xluhzn9gDm2D/h0sX6Vu5rL/o0J6QZcE5u52CmpLvbzoPXUHUMq5hqIAJbmFBXA==" saltValue="zA6Ui7/RDtsNt9LQQsqTTA==" spinCount="100000" sheet="1" objects="1" scenarios="1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69C60-6373-4E34-82BF-FF46DAECC989}">
  <sheetPr>
    <tabColor rgb="FFCEE4EB"/>
    <outlinePr summaryBelow="0" summaryRight="0"/>
  </sheetPr>
  <dimension ref="A1:T85"/>
  <sheetViews>
    <sheetView workbookViewId="0">
      <selection activeCell="C8" sqref="C8"/>
    </sheetView>
  </sheetViews>
  <sheetFormatPr defaultColWidth="0" defaultRowHeight="14.45" zeroHeight="1"/>
  <cols>
    <col min="1" max="1" width="2.7109375" style="14" customWidth="1"/>
    <col min="2" max="2" width="36.42578125" style="14" customWidth="1"/>
    <col min="3" max="7" width="17.28515625" style="14" customWidth="1"/>
    <col min="8" max="8" width="9.28515625" style="14" customWidth="1"/>
    <col min="9" max="9" width="1.85546875" style="14" customWidth="1"/>
    <col min="10" max="12" width="11.140625" style="14" hidden="1" customWidth="1"/>
    <col min="13" max="13" width="13.7109375" style="14" hidden="1" customWidth="1"/>
    <col min="14" max="20" width="12.28515625" style="14" hidden="1" customWidth="1"/>
    <col min="21" max="16384" width="8.85546875" style="14" hidden="1"/>
  </cols>
  <sheetData>
    <row r="1" spans="2:8"/>
    <row r="2" spans="2:8" ht="15.6">
      <c r="B2" s="44" t="s">
        <v>17</v>
      </c>
      <c r="C2" s="60"/>
      <c r="D2" s="60"/>
      <c r="E2" s="60"/>
      <c r="F2" s="44"/>
      <c r="G2" s="44"/>
      <c r="H2" s="44"/>
    </row>
    <row r="3" spans="2:8"/>
    <row r="4" spans="2:8">
      <c r="B4" s="30" t="s">
        <v>18</v>
      </c>
      <c r="C4" s="31"/>
      <c r="D4" s="31"/>
      <c r="E4" s="31"/>
      <c r="F4" s="31"/>
      <c r="G4" s="31"/>
      <c r="H4" s="31"/>
    </row>
    <row r="5" spans="2:8">
      <c r="B5" s="88" t="s">
        <v>19</v>
      </c>
    </row>
    <row r="6" spans="2:8" ht="9" customHeight="1">
      <c r="B6" s="88"/>
    </row>
    <row r="7" spans="2:8">
      <c r="B7" s="89" t="s">
        <v>20</v>
      </c>
    </row>
    <row r="8" spans="2:8">
      <c r="B8" s="102" t="s">
        <v>21</v>
      </c>
      <c r="C8" s="130">
        <v>0.4</v>
      </c>
    </row>
    <row r="9" spans="2:8">
      <c r="B9" s="103" t="s">
        <v>22</v>
      </c>
      <c r="C9" s="101">
        <f>C8*Input!$C$8</f>
        <v>800</v>
      </c>
    </row>
    <row r="10" spans="2:8">
      <c r="B10" s="36"/>
    </row>
    <row r="11" spans="2:8">
      <c r="B11" s="71" t="s">
        <v>23</v>
      </c>
    </row>
    <row r="12" spans="2:8">
      <c r="B12" s="104" t="s">
        <v>24</v>
      </c>
      <c r="C12" s="131" t="s">
        <v>25</v>
      </c>
    </row>
    <row r="13" spans="2:8"/>
    <row r="14" spans="2:8">
      <c r="B14" s="30" t="s">
        <v>26</v>
      </c>
      <c r="C14" s="31"/>
      <c r="D14" s="31"/>
      <c r="E14" s="31"/>
      <c r="F14" s="31"/>
      <c r="G14" s="31"/>
      <c r="H14" s="31"/>
    </row>
    <row r="15" spans="2:8"/>
    <row r="16" spans="2:8"/>
    <row r="17" s="14" customFormat="1"/>
    <row r="18" s="14" customFormat="1"/>
    <row r="19" s="14" customFormat="1"/>
    <row r="20" s="14" customFormat="1"/>
    <row r="21" s="14" customFormat="1"/>
    <row r="22" s="14" customFormat="1"/>
    <row r="23" s="14" customFormat="1"/>
    <row r="24" s="14" customFormat="1"/>
    <row r="25" s="14" customFormat="1"/>
    <row r="26" s="14" customFormat="1"/>
    <row r="27" s="14" customFormat="1"/>
    <row r="28" s="14" customFormat="1"/>
    <row r="29" s="14" customFormat="1"/>
    <row r="30" s="14" customFormat="1"/>
    <row r="31" s="14" customFormat="1"/>
    <row r="32" s="14" customFormat="1"/>
    <row r="33" spans="2:8"/>
    <row r="34" spans="2:8"/>
    <row r="35" spans="2:8"/>
    <row r="36" spans="2:8"/>
    <row r="37" spans="2:8"/>
    <row r="38" spans="2:8"/>
    <row r="39" spans="2:8"/>
    <row r="40" spans="2:8"/>
    <row r="41" spans="2:8"/>
    <row r="42" spans="2:8"/>
    <row r="43" spans="2:8"/>
    <row r="44" spans="2:8"/>
    <row r="45" spans="2:8"/>
    <row r="46" spans="2:8"/>
    <row r="47" spans="2:8"/>
    <row r="48" spans="2:8">
      <c r="B48" s="30" t="s">
        <v>27</v>
      </c>
      <c r="C48" s="31"/>
      <c r="D48" s="31"/>
      <c r="E48" s="31"/>
      <c r="F48" s="31"/>
      <c r="G48" s="31"/>
      <c r="H48" s="31"/>
    </row>
    <row r="49" spans="2:8"/>
    <row r="50" spans="2:8">
      <c r="B50" s="59" t="s">
        <v>28</v>
      </c>
      <c r="C50" s="146"/>
    </row>
    <row r="51" spans="2:8">
      <c r="B51" s="111" t="s">
        <v>20</v>
      </c>
      <c r="C51" s="132">
        <f>Benefits!$C$10</f>
        <v>480000</v>
      </c>
    </row>
    <row r="52" spans="2:8">
      <c r="B52" s="112" t="s">
        <v>23</v>
      </c>
      <c r="C52" s="132">
        <f>IF($C$12="Spend less time in OR",Benefits!D18,IF($C$12="Do more procedures (with current premium % split)",Benefits!D27,Benefits!D28))</f>
        <v>14976.666666666668</v>
      </c>
    </row>
    <row r="53" spans="2:8">
      <c r="B53" s="113" t="s">
        <v>29</v>
      </c>
      <c r="C53" s="133">
        <f>SUM(C51:C52)</f>
        <v>494976.66666666669</v>
      </c>
    </row>
    <row r="54" spans="2:8">
      <c r="B54" s="36"/>
      <c r="C54" s="134"/>
    </row>
    <row r="55" spans="2:8">
      <c r="B55" s="89" t="s">
        <v>30</v>
      </c>
      <c r="C55" s="134"/>
    </row>
    <row r="56" spans="2:8">
      <c r="B56" s="72" t="s">
        <v>15</v>
      </c>
      <c r="C56" s="132">
        <f>Input!C22</f>
        <v>5000</v>
      </c>
    </row>
    <row r="57" spans="2:8">
      <c r="B57" s="72" t="s">
        <v>16</v>
      </c>
      <c r="C57" s="132">
        <f>Input!C23</f>
        <v>90000</v>
      </c>
    </row>
    <row r="58" spans="2:8">
      <c r="B58" s="109" t="s">
        <v>31</v>
      </c>
      <c r="C58" s="133">
        <f>SUM(C56:C57)</f>
        <v>95000</v>
      </c>
    </row>
    <row r="59" spans="2:8">
      <c r="B59" s="36"/>
      <c r="C59" s="134"/>
    </row>
    <row r="60" spans="2:8" ht="15" thickBot="1">
      <c r="B60" s="110" t="s">
        <v>32</v>
      </c>
      <c r="C60" s="135">
        <f>C53-C58</f>
        <v>399976.66666666669</v>
      </c>
    </row>
    <row r="61" spans="2:8">
      <c r="B61" s="36"/>
      <c r="C61" s="51"/>
    </row>
    <row r="62" spans="2:8">
      <c r="B62" s="110" t="s">
        <v>33</v>
      </c>
      <c r="C62" s="106">
        <f>C58/C53*12</f>
        <v>2.3031388684988516</v>
      </c>
      <c r="D62" s="123">
        <v>0</v>
      </c>
    </row>
    <row r="63" spans="2:8"/>
    <row r="64" spans="2:8">
      <c r="B64" s="30" t="s">
        <v>34</v>
      </c>
      <c r="C64" s="31"/>
      <c r="D64" s="31"/>
      <c r="E64" s="31"/>
      <c r="F64" s="31"/>
      <c r="G64" s="31"/>
      <c r="H64" s="31"/>
    </row>
    <row r="65" spans="2:7">
      <c r="B65" s="88" t="s">
        <v>35</v>
      </c>
    </row>
    <row r="66" spans="2:7"/>
    <row r="67" spans="2:7">
      <c r="C67" s="41" t="s">
        <v>36</v>
      </c>
      <c r="D67" s="41" t="s">
        <v>37</v>
      </c>
      <c r="E67" s="41" t="s">
        <v>38</v>
      </c>
      <c r="F67" s="41" t="s">
        <v>39</v>
      </c>
      <c r="G67" s="41" t="s">
        <v>40</v>
      </c>
    </row>
    <row r="68" spans="2:7">
      <c r="B68" s="58" t="s">
        <v>41</v>
      </c>
      <c r="C68" s="87">
        <f>Input!$C$12</f>
        <v>0.05</v>
      </c>
      <c r="D68" s="87">
        <f>C68</f>
        <v>0.05</v>
      </c>
      <c r="E68" s="87">
        <f t="shared" ref="E68:G68" si="0">D68</f>
        <v>0.05</v>
      </c>
      <c r="F68" s="87">
        <f t="shared" si="0"/>
        <v>0.05</v>
      </c>
      <c r="G68" s="87">
        <f t="shared" si="0"/>
        <v>0.05</v>
      </c>
    </row>
    <row r="69" spans="2:7">
      <c r="B69" s="58" t="s">
        <v>42</v>
      </c>
      <c r="C69" s="47">
        <f>Input!C8</f>
        <v>2000</v>
      </c>
      <c r="D69" s="48">
        <f>C69*(1+D$68)</f>
        <v>2100</v>
      </c>
      <c r="E69" s="48">
        <f t="shared" ref="E69:G69" si="1">D69*(1+E$68)</f>
        <v>2205</v>
      </c>
      <c r="F69" s="48">
        <f t="shared" si="1"/>
        <v>2315.25</v>
      </c>
      <c r="G69" s="48">
        <f t="shared" si="1"/>
        <v>2431.0125000000003</v>
      </c>
    </row>
    <row r="70" spans="2:7">
      <c r="C70" s="87"/>
    </row>
    <row r="71" spans="2:7">
      <c r="B71" s="102" t="s">
        <v>43</v>
      </c>
      <c r="C71" s="50">
        <f>C51</f>
        <v>480000</v>
      </c>
      <c r="D71" s="51">
        <f>C71*(1+D$68)</f>
        <v>504000</v>
      </c>
      <c r="E71" s="51">
        <f t="shared" ref="E71:G72" si="2">D71*(1+E$68)</f>
        <v>529200</v>
      </c>
      <c r="F71" s="51">
        <f t="shared" si="2"/>
        <v>555660</v>
      </c>
      <c r="G71" s="51">
        <f t="shared" si="2"/>
        <v>583443</v>
      </c>
    </row>
    <row r="72" spans="2:7">
      <c r="B72" s="107" t="s">
        <v>44</v>
      </c>
      <c r="C72" s="50">
        <f>C52</f>
        <v>14976.666666666668</v>
      </c>
      <c r="D72" s="51">
        <f>C72*(1+D$68)</f>
        <v>15725.500000000002</v>
      </c>
      <c r="E72" s="51">
        <f t="shared" si="2"/>
        <v>16511.775000000001</v>
      </c>
      <c r="F72" s="51">
        <f t="shared" si="2"/>
        <v>17337.363750000004</v>
      </c>
      <c r="G72" s="51">
        <f t="shared" si="2"/>
        <v>18204.231937500004</v>
      </c>
    </row>
    <row r="73" spans="2:7">
      <c r="B73" s="108" t="s">
        <v>45</v>
      </c>
      <c r="C73" s="116">
        <f>SUM(C71:C72)</f>
        <v>494976.66666666669</v>
      </c>
      <c r="D73" s="116">
        <f t="shared" ref="D73:G73" si="3">SUM(D71:D72)</f>
        <v>519725.5</v>
      </c>
      <c r="E73" s="116">
        <f t="shared" si="3"/>
        <v>545711.77500000002</v>
      </c>
      <c r="F73" s="116">
        <f t="shared" si="3"/>
        <v>572997.36375000002</v>
      </c>
      <c r="G73" s="116">
        <f t="shared" si="3"/>
        <v>601647.23193749995</v>
      </c>
    </row>
    <row r="74" spans="2:7">
      <c r="C74" s="50"/>
      <c r="D74" s="51"/>
      <c r="E74" s="51"/>
      <c r="F74" s="51"/>
      <c r="G74" s="51"/>
    </row>
    <row r="75" spans="2:7">
      <c r="B75" s="102" t="s">
        <v>15</v>
      </c>
      <c r="C75" s="50">
        <f>C56</f>
        <v>5000</v>
      </c>
      <c r="D75" s="50">
        <f>C75</f>
        <v>5000</v>
      </c>
      <c r="E75" s="50">
        <f t="shared" ref="E75:G76" si="4">D75</f>
        <v>5000</v>
      </c>
      <c r="F75" s="50">
        <f t="shared" si="4"/>
        <v>5000</v>
      </c>
      <c r="G75" s="50">
        <f t="shared" si="4"/>
        <v>5000</v>
      </c>
    </row>
    <row r="76" spans="2:7">
      <c r="B76" s="107" t="s">
        <v>16</v>
      </c>
      <c r="C76" s="50">
        <f>C57</f>
        <v>90000</v>
      </c>
      <c r="D76" s="51">
        <v>0</v>
      </c>
      <c r="E76" s="50">
        <f t="shared" si="4"/>
        <v>0</v>
      </c>
      <c r="F76" s="50">
        <f t="shared" si="4"/>
        <v>0</v>
      </c>
      <c r="G76" s="50">
        <f t="shared" si="4"/>
        <v>0</v>
      </c>
    </row>
    <row r="77" spans="2:7">
      <c r="B77" s="108" t="s">
        <v>46</v>
      </c>
      <c r="C77" s="116">
        <f>SUM(C75:C76)</f>
        <v>95000</v>
      </c>
      <c r="D77" s="116">
        <f t="shared" ref="D77:G77" si="5">SUM(D75:D76)</f>
        <v>5000</v>
      </c>
      <c r="E77" s="116">
        <f t="shared" si="5"/>
        <v>5000</v>
      </c>
      <c r="F77" s="116">
        <f t="shared" si="5"/>
        <v>5000</v>
      </c>
      <c r="G77" s="116">
        <f t="shared" si="5"/>
        <v>5000</v>
      </c>
    </row>
    <row r="78" spans="2:7">
      <c r="C78" s="51"/>
      <c r="D78" s="51"/>
      <c r="E78" s="51"/>
      <c r="F78" s="51"/>
      <c r="G78" s="51"/>
    </row>
    <row r="79" spans="2:7" ht="15" thickBot="1">
      <c r="B79" s="122" t="s">
        <v>47</v>
      </c>
      <c r="C79" s="121">
        <f>C73-C77</f>
        <v>399976.66666666669</v>
      </c>
      <c r="D79" s="121">
        <f t="shared" ref="D79:G79" si="6">D73-D77</f>
        <v>514725.5</v>
      </c>
      <c r="E79" s="121">
        <f t="shared" si="6"/>
        <v>540711.77500000002</v>
      </c>
      <c r="F79" s="121">
        <f t="shared" si="6"/>
        <v>567997.36375000002</v>
      </c>
      <c r="G79" s="121">
        <f t="shared" si="6"/>
        <v>596647.23193749995</v>
      </c>
    </row>
    <row r="80" spans="2:7" ht="15" thickBot="1">
      <c r="B80" s="122" t="s">
        <v>48</v>
      </c>
      <c r="C80" s="117">
        <f>C79</f>
        <v>399976.66666666669</v>
      </c>
      <c r="D80" s="117">
        <f>D79+C80</f>
        <v>914702.16666666674</v>
      </c>
      <c r="E80" s="117">
        <f>E79+D80</f>
        <v>1455413.9416666669</v>
      </c>
      <c r="F80" s="117">
        <f>F79+E80</f>
        <v>2023411.3054166669</v>
      </c>
      <c r="G80" s="117">
        <f>G79+F80</f>
        <v>2620058.5373541666</v>
      </c>
    </row>
    <row r="81" spans="2:7">
      <c r="C81" s="51"/>
      <c r="D81" s="47"/>
      <c r="E81" s="47"/>
      <c r="F81" s="47"/>
      <c r="G81" s="47"/>
    </row>
    <row r="82" spans="2:7" ht="15" hidden="1" thickBot="1">
      <c r="B82" s="110" t="s">
        <v>49</v>
      </c>
      <c r="C82" s="105">
        <f>SUM(C79:G79)</f>
        <v>2620058.5373541666</v>
      </c>
      <c r="D82" s="47"/>
      <c r="E82" s="47"/>
      <c r="F82" s="47"/>
      <c r="G82" s="47"/>
    </row>
    <row r="83" spans="2:7"/>
    <row r="84" spans="2:7"/>
    <row r="85" spans="2:7"/>
  </sheetData>
  <sheetProtection algorithmName="SHA-512" hashValue="nSRAiAlhLAp5Zx+3dYnoF4y8I3NzRI1hlzLnmCurWlr8HkgwOx3G0PoSVgdw0Qk2gbMiGmibQ18j77GJmZx0mg==" saltValue="gGLuFR6Vh9Q3I+qMwgvduA==" spinCount="100000" sheet="1" objects="1" scenarios="1"/>
  <dataValidations count="1">
    <dataValidation type="list" allowBlank="1" showInputMessage="1" showErrorMessage="1" sqref="C12" xr:uid="{4BA23D3E-9469-47A8-9FD1-6EA22888368E}">
      <formula1>"Spend less time in OR, Do more procedures (with current premium % split), Do more procedures (with desired premium % split)"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9EA88-A3E7-4AB0-8281-0076AEA28DBC}">
  <sheetPr>
    <tabColor rgb="FF72B2C6"/>
  </sheetPr>
  <dimension ref="A1:J32"/>
  <sheetViews>
    <sheetView workbookViewId="0">
      <selection activeCell="B16" sqref="B16"/>
    </sheetView>
  </sheetViews>
  <sheetFormatPr defaultColWidth="0" defaultRowHeight="14.45" zeroHeight="1"/>
  <cols>
    <col min="1" max="10" width="8.85546875" style="14" customWidth="1"/>
    <col min="11" max="16384" width="8.85546875" style="14" hidden="1"/>
  </cols>
  <sheetData>
    <row r="1" spans="1:1">
      <c r="A1" s="52" t="s">
        <v>50</v>
      </c>
    </row>
    <row r="2" spans="1:1"/>
    <row r="3" spans="1:1"/>
    <row r="4" spans="1:1"/>
    <row r="5" spans="1:1"/>
    <row r="6" spans="1:1"/>
    <row r="7" spans="1:1"/>
    <row r="8" spans="1:1"/>
    <row r="9" spans="1:1"/>
    <row r="10" spans="1:1"/>
    <row r="11" spans="1:1"/>
    <row r="12" spans="1:1"/>
    <row r="13" spans="1:1"/>
    <row r="14" spans="1:1"/>
    <row r="15" spans="1:1"/>
    <row r="16" spans="1:1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33D9D-EAD7-4FEC-97A3-B7F48775B420}">
  <sheetPr>
    <tabColor theme="0"/>
    <outlinePr summaryBelow="0" summaryRight="0"/>
  </sheetPr>
  <dimension ref="A1:J34"/>
  <sheetViews>
    <sheetView workbookViewId="0">
      <selection activeCell="C13" sqref="C13"/>
    </sheetView>
  </sheetViews>
  <sheetFormatPr defaultColWidth="0" defaultRowHeight="14.45" zeroHeight="1" outlineLevelRow="1"/>
  <cols>
    <col min="1" max="1" width="2.28515625" style="14" customWidth="1"/>
    <col min="2" max="2" width="19.7109375" style="14" customWidth="1"/>
    <col min="3" max="4" width="11.28515625" style="14" customWidth="1"/>
    <col min="5" max="5" width="9.85546875" style="14" customWidth="1"/>
    <col min="6" max="6" width="3.28515625" style="14" customWidth="1"/>
    <col min="7" max="7" width="43.28515625" style="14" bestFit="1" customWidth="1"/>
    <col min="8" max="8" width="8.85546875" style="14" customWidth="1"/>
    <col min="9" max="9" width="4.28515625" style="14" customWidth="1"/>
    <col min="10" max="10" width="3" style="14" customWidth="1"/>
    <col min="11" max="16384" width="8.85546875" style="14" hidden="1"/>
  </cols>
  <sheetData>
    <row r="1" spans="2:9"/>
    <row r="2" spans="2:9">
      <c r="B2" s="27" t="s">
        <v>51</v>
      </c>
      <c r="C2" s="27"/>
      <c r="D2" s="27"/>
      <c r="E2" s="27"/>
      <c r="F2" s="27"/>
      <c r="G2" s="27"/>
      <c r="H2" s="27"/>
      <c r="I2" s="27"/>
    </row>
    <row r="3" spans="2:9"/>
    <row r="4" spans="2:9">
      <c r="B4" s="29" t="s">
        <v>52</v>
      </c>
      <c r="C4" s="28"/>
      <c r="D4" s="28"/>
      <c r="E4" s="28"/>
      <c r="F4" s="28"/>
      <c r="G4" s="28"/>
      <c r="H4" s="28"/>
      <c r="I4" s="28"/>
    </row>
    <row r="5" spans="2:9">
      <c r="B5" s="53" t="s">
        <v>53</v>
      </c>
    </row>
    <row r="6" spans="2:9"/>
    <row r="7" spans="2:9">
      <c r="B7" s="45" t="s">
        <v>54</v>
      </c>
      <c r="C7" s="46" t="s">
        <v>55</v>
      </c>
      <c r="D7" s="46" t="s">
        <v>56</v>
      </c>
      <c r="E7" s="46" t="s">
        <v>57</v>
      </c>
      <c r="F7" s="46"/>
      <c r="G7" s="45" t="s">
        <v>58</v>
      </c>
    </row>
    <row r="8" spans="2:9">
      <c r="B8" s="36" t="s">
        <v>59</v>
      </c>
      <c r="C8" s="136">
        <f>SUM(C9:C10)</f>
        <v>24.41</v>
      </c>
      <c r="D8" s="54">
        <f t="shared" ref="D8:E8" si="0">SUM(D9:D10)</f>
        <v>14.15</v>
      </c>
      <c r="E8" s="54">
        <f t="shared" si="0"/>
        <v>10.26</v>
      </c>
      <c r="F8" s="41"/>
      <c r="G8" s="36" t="s">
        <v>60</v>
      </c>
    </row>
    <row r="9" spans="2:9" outlineLevel="1">
      <c r="B9" s="37" t="s">
        <v>61</v>
      </c>
      <c r="C9" s="137">
        <v>21.41</v>
      </c>
      <c r="D9" s="55">
        <v>14.15</v>
      </c>
      <c r="E9" s="55">
        <f>C9-D9</f>
        <v>7.26</v>
      </c>
      <c r="F9" s="52"/>
      <c r="G9" s="52"/>
    </row>
    <row r="10" spans="2:9" outlineLevel="1">
      <c r="B10" s="37" t="s">
        <v>62</v>
      </c>
      <c r="C10" s="137">
        <v>3</v>
      </c>
      <c r="D10" s="55">
        <v>0</v>
      </c>
      <c r="E10" s="55">
        <f>C10-D10</f>
        <v>3</v>
      </c>
      <c r="F10" s="52"/>
      <c r="G10" s="52" t="s">
        <v>63</v>
      </c>
    </row>
    <row r="11" spans="2:9">
      <c r="B11" s="36" t="s">
        <v>64</v>
      </c>
      <c r="C11" s="136">
        <f>SUM(C12:C13)</f>
        <v>6.17</v>
      </c>
      <c r="D11" s="54">
        <f t="shared" ref="D11:E11" si="1">SUM(D12:D13)</f>
        <v>2.19</v>
      </c>
      <c r="E11" s="54">
        <f t="shared" si="1"/>
        <v>3.98</v>
      </c>
      <c r="G11" s="14" t="s">
        <v>65</v>
      </c>
    </row>
    <row r="12" spans="2:9" outlineLevel="1">
      <c r="B12" s="37" t="s">
        <v>66</v>
      </c>
      <c r="C12" s="137">
        <v>3.17</v>
      </c>
      <c r="D12" s="55">
        <v>2.19</v>
      </c>
      <c r="E12" s="55">
        <f t="shared" ref="E12:E13" si="2">C12-D12</f>
        <v>0.98</v>
      </c>
    </row>
    <row r="13" spans="2:9" outlineLevel="1">
      <c r="B13" s="37" t="s">
        <v>67</v>
      </c>
      <c r="C13" s="137">
        <v>3</v>
      </c>
      <c r="D13" s="55">
        <v>0</v>
      </c>
      <c r="E13" s="55">
        <f t="shared" si="2"/>
        <v>3</v>
      </c>
      <c r="G13" s="14" t="s">
        <v>68</v>
      </c>
    </row>
    <row r="14" spans="2:9">
      <c r="B14" s="56" t="s">
        <v>69</v>
      </c>
      <c r="C14" s="138">
        <f>SUM(C8,C11)</f>
        <v>30.58</v>
      </c>
      <c r="D14" s="57">
        <f t="shared" ref="D14:E14" si="3">SUM(D8,D11)</f>
        <v>16.34</v>
      </c>
      <c r="E14" s="57">
        <f t="shared" si="3"/>
        <v>14.24</v>
      </c>
    </row>
    <row r="15" spans="2:9"/>
    <row r="16" spans="2:9"/>
    <row r="17" spans="2:8"/>
    <row r="18" spans="2:8"/>
    <row r="19" spans="2:8"/>
    <row r="20" spans="2:8"/>
    <row r="24" spans="2:8" hidden="1">
      <c r="G24" s="37"/>
      <c r="H24" s="37"/>
    </row>
    <row r="25" spans="2:8" hidden="1">
      <c r="G25" s="39"/>
      <c r="H25" s="39"/>
    </row>
    <row r="26" spans="2:8" hidden="1">
      <c r="B26" s="43"/>
      <c r="C26" s="38"/>
      <c r="D26" s="42"/>
      <c r="G26" s="39"/>
      <c r="H26" s="39"/>
    </row>
    <row r="27" spans="2:8" hidden="1">
      <c r="B27" s="43"/>
      <c r="C27" s="38"/>
      <c r="D27" s="42"/>
      <c r="G27" s="39"/>
      <c r="H27" s="39"/>
    </row>
    <row r="33" spans="3:4" hidden="1">
      <c r="C33" s="34"/>
      <c r="D33" s="35"/>
    </row>
    <row r="34" spans="3:4" hidden="1">
      <c r="C34" s="34"/>
      <c r="D34" s="35"/>
    </row>
  </sheetData>
  <sheetProtection algorithmName="SHA-512" hashValue="JedWFoQB6F2YrVMOpcgoYj5YBbLG1A6sdOYGS6LLh9EFOGOIs2uRaKsjzCIl+FCDE4LQ3mP5ozLqMVxK+TuLcg==" saltValue="ee4+Clf9fMAIx+DkjPk/G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483B-7FF4-4746-8A2D-9FFB3EC69707}">
  <sheetPr>
    <tabColor theme="0"/>
  </sheetPr>
  <dimension ref="A1:I36"/>
  <sheetViews>
    <sheetView workbookViewId="0">
      <selection activeCell="B6" sqref="B6"/>
    </sheetView>
  </sheetViews>
  <sheetFormatPr defaultColWidth="0" defaultRowHeight="14.45" zeroHeight="1"/>
  <cols>
    <col min="1" max="1" width="3.140625" style="14" customWidth="1"/>
    <col min="2" max="2" width="33.140625" style="14" customWidth="1"/>
    <col min="3" max="4" width="23.140625" style="62" customWidth="1"/>
    <col min="5" max="5" width="42.85546875" style="14" customWidth="1"/>
    <col min="6" max="6" width="11.28515625" style="14" customWidth="1"/>
    <col min="7" max="7" width="8.85546875" style="14" customWidth="1"/>
    <col min="8" max="9" width="0" style="14" hidden="1" customWidth="1"/>
    <col min="10" max="16384" width="8.85546875" style="14" hidden="1"/>
  </cols>
  <sheetData>
    <row r="1" spans="2:6"/>
    <row r="2" spans="2:6" ht="15.6">
      <c r="B2" s="44" t="s">
        <v>70</v>
      </c>
      <c r="C2" s="60"/>
      <c r="D2" s="60"/>
      <c r="E2" s="44"/>
      <c r="F2" s="44"/>
    </row>
    <row r="3" spans="2:6">
      <c r="B3" s="69"/>
      <c r="C3" s="70"/>
      <c r="D3" s="70"/>
      <c r="E3" s="69"/>
      <c r="F3" s="69"/>
    </row>
    <row r="4" spans="2:6">
      <c r="B4" s="30" t="s">
        <v>71</v>
      </c>
      <c r="C4" s="66"/>
      <c r="D4" s="66"/>
      <c r="E4" s="28"/>
      <c r="F4" s="28"/>
    </row>
    <row r="5" spans="2:6">
      <c r="B5" s="53" t="s">
        <v>72</v>
      </c>
    </row>
    <row r="6" spans="2:6"/>
    <row r="7" spans="2:6">
      <c r="C7" s="68" t="s">
        <v>73</v>
      </c>
    </row>
    <row r="8" spans="2:6">
      <c r="B8" s="139" t="str">
        <f>CONCATENATE("At Current Premium Split: ",Input!$C$9*100, "%")</f>
        <v>At Current Premium Split: 20%</v>
      </c>
      <c r="C8" s="74">
        <f>Input!C10*Input!$C$15*Input!$C$16</f>
        <v>480000</v>
      </c>
    </row>
    <row r="9" spans="2:6">
      <c r="B9" s="140" t="str">
        <f>CONCATENATE("At Desired Premium Split: ",Results!C8*100, "%")</f>
        <v>At Desired Premium Split: 40%</v>
      </c>
      <c r="C9" s="74">
        <f>Results!C9*Input!$C$15*Input!$C$16</f>
        <v>960000</v>
      </c>
    </row>
    <row r="10" spans="2:6">
      <c r="B10" s="141" t="s">
        <v>74</v>
      </c>
      <c r="C10" s="75">
        <f>C9-C8</f>
        <v>480000</v>
      </c>
    </row>
    <row r="11" spans="2:6">
      <c r="B11" s="69"/>
      <c r="C11" s="70"/>
      <c r="D11" s="70"/>
      <c r="E11" s="69"/>
      <c r="F11" s="69"/>
    </row>
    <row r="12" spans="2:6">
      <c r="B12" s="30" t="s">
        <v>75</v>
      </c>
      <c r="C12" s="61"/>
      <c r="D12" s="61"/>
      <c r="E12" s="31"/>
      <c r="F12" s="28"/>
    </row>
    <row r="13" spans="2:6">
      <c r="B13" s="53" t="s">
        <v>76</v>
      </c>
    </row>
    <row r="14" spans="2:6">
      <c r="B14" s="53"/>
      <c r="C14" s="63"/>
      <c r="D14" s="63"/>
    </row>
    <row r="15" spans="2:6">
      <c r="B15" s="40"/>
      <c r="C15" s="64" t="s">
        <v>77</v>
      </c>
      <c r="D15" s="64" t="s">
        <v>78</v>
      </c>
      <c r="E15" s="41"/>
    </row>
    <row r="16" spans="2:6">
      <c r="B16" s="76" t="s">
        <v>59</v>
      </c>
      <c r="C16" s="79">
        <f>Input!$C$10*Assumptions!E8/60</f>
        <v>68.400000000000006</v>
      </c>
      <c r="D16" s="65">
        <f>C16*Input!C19</f>
        <v>1710.0000000000002</v>
      </c>
      <c r="E16" s="48"/>
    </row>
    <row r="17" spans="2:6">
      <c r="B17" s="77" t="s">
        <v>79</v>
      </c>
      <c r="C17" s="83">
        <f>Input!$C$10*Assumptions!E11/60</f>
        <v>26.533333333333335</v>
      </c>
      <c r="D17" s="73">
        <f>C17*Input!C20</f>
        <v>13266.666666666668</v>
      </c>
      <c r="E17" s="48"/>
    </row>
    <row r="18" spans="2:6">
      <c r="B18" s="82" t="s">
        <v>80</v>
      </c>
      <c r="C18" s="98">
        <f>SUM(C16:C17)</f>
        <v>94.933333333333337</v>
      </c>
      <c r="D18" s="84">
        <f>SUM(D16:D17)</f>
        <v>14976.666666666668</v>
      </c>
      <c r="E18" s="49"/>
    </row>
    <row r="19" spans="2:6"/>
    <row r="20" spans="2:6">
      <c r="B20" s="30" t="s">
        <v>81</v>
      </c>
      <c r="C20" s="66"/>
      <c r="D20" s="66"/>
      <c r="E20" s="28"/>
      <c r="F20" s="28"/>
    </row>
    <row r="21" spans="2:6">
      <c r="B21" s="53" t="s">
        <v>82</v>
      </c>
    </row>
    <row r="22" spans="2:6"/>
    <row r="23" spans="2:6">
      <c r="B23" s="76" t="s">
        <v>83</v>
      </c>
      <c r="C23" s="79">
        <f>C18</f>
        <v>94.933333333333337</v>
      </c>
      <c r="D23" s="67"/>
      <c r="E23" s="48"/>
    </row>
    <row r="24" spans="2:6">
      <c r="B24" s="80" t="s">
        <v>84</v>
      </c>
      <c r="C24" s="79">
        <f>C18*60/Assumptions!D14</f>
        <v>348.59241126070992</v>
      </c>
    </row>
    <row r="25" spans="2:6" ht="8.4499999999999993" customHeight="1"/>
    <row r="26" spans="2:6" ht="28.9">
      <c r="B26" s="59"/>
      <c r="C26" s="63" t="s">
        <v>85</v>
      </c>
      <c r="D26" s="63" t="s">
        <v>86</v>
      </c>
    </row>
    <row r="27" spans="2:6">
      <c r="B27" s="142" t="str">
        <f>CONCATENATE("At Current Premium Split: ",Input!$C$9*100, "%")</f>
        <v>At Current Premium Split: 20%</v>
      </c>
      <c r="C27" s="114">
        <f>$C$24*Input!C9</f>
        <v>69.718482252141982</v>
      </c>
      <c r="D27" s="85">
        <f>C27*Input!$C$15*Input!$C$16</f>
        <v>83662.178702570382</v>
      </c>
    </row>
    <row r="28" spans="2:6">
      <c r="B28" s="143" t="str">
        <f>CONCATENATE("At Desired Premium Split: ",Results!C8*100, "%")</f>
        <v>At Desired Premium Split: 40%</v>
      </c>
      <c r="C28" s="115">
        <f>$C$24*Results!C8</f>
        <v>139.43696450428396</v>
      </c>
      <c r="D28" s="86">
        <f>C28*Input!$C$15*Input!$C$16</f>
        <v>167324.35740514076</v>
      </c>
    </row>
    <row r="29" spans="2:6"/>
    <row r="30" spans="2:6">
      <c r="C30" s="14"/>
      <c r="D30" s="14"/>
    </row>
    <row r="31" spans="2:6" hidden="1">
      <c r="C31" s="14"/>
      <c r="D31" s="14"/>
    </row>
    <row r="32" spans="2:6" hidden="1">
      <c r="C32" s="14"/>
      <c r="D32" s="14"/>
    </row>
    <row r="33" s="14" customFormat="1" hidden="1"/>
    <row r="34" s="14" customFormat="1" hidden="1"/>
    <row r="35" s="14" customFormat="1" hidden="1"/>
    <row r="36" s="14" customFormat="1" hidden="1"/>
  </sheetData>
  <sheetProtection algorithmName="SHA-512" hashValue="J4+WsU5beUv6OgEtliw6tw/Fqf4ohyuDeyhqe1M/2fR7wq1opiaRmDP60PFkaL3PcXmxP31fHzqE2sAPHhY5Ng==" saltValue="wRGFGWwpaqDTJcOIAvnrKQ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BAFC0-9C59-45AD-A426-7C0F55E72D52}">
  <sheetPr>
    <tabColor theme="0"/>
  </sheetPr>
  <dimension ref="A1:W101"/>
  <sheetViews>
    <sheetView workbookViewId="0">
      <selection activeCell="C4" sqref="C4"/>
    </sheetView>
  </sheetViews>
  <sheetFormatPr defaultColWidth="0" defaultRowHeight="14.45" zeroHeight="1" outlineLevelRow="1"/>
  <cols>
    <col min="1" max="1" width="3.140625" style="14" customWidth="1"/>
    <col min="2" max="2" width="61.7109375" style="62" bestFit="1" customWidth="1"/>
    <col min="3" max="3" width="15.28515625" style="62" customWidth="1"/>
    <col min="4" max="6" width="15.28515625" style="14" customWidth="1"/>
    <col min="7" max="7" width="5.42578125" style="14" customWidth="1"/>
    <col min="8" max="8" width="4.7109375" style="14" customWidth="1"/>
    <col min="9" max="23" width="0" style="14" hidden="1" customWidth="1"/>
    <col min="24" max="16384" width="8.85546875" style="14" hidden="1"/>
  </cols>
  <sheetData>
    <row r="1" spans="2:7"/>
    <row r="2" spans="2:7" ht="15.6">
      <c r="B2" s="44" t="s">
        <v>87</v>
      </c>
      <c r="C2" s="60"/>
      <c r="D2" s="60"/>
      <c r="E2" s="44"/>
      <c r="F2" s="44"/>
      <c r="G2" s="44"/>
    </row>
    <row r="3" spans="2:7">
      <c r="B3" s="53" t="s">
        <v>88</v>
      </c>
      <c r="C3" s="14"/>
    </row>
    <row r="4" spans="2:7"/>
    <row r="5" spans="2:7"/>
    <row r="6" spans="2:7"/>
    <row r="7" spans="2:7"/>
    <row r="8" spans="2:7"/>
    <row r="9" spans="2:7"/>
    <row r="10" spans="2:7"/>
    <row r="11" spans="2:7"/>
    <row r="12" spans="2:7"/>
    <row r="13" spans="2:7"/>
    <row r="14" spans="2:7"/>
    <row r="15" spans="2:7"/>
    <row r="16" spans="2:7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58" hidden="1" outlineLevel="1"/>
    <row r="59" hidden="1" outlineLevel="1"/>
    <row r="60" hidden="1" outlineLevel="1"/>
    <row r="61" hidden="1" outlineLevel="1"/>
    <row r="62" hidden="1" outlineLevel="1"/>
    <row r="63" hidden="1" outlineLevel="1"/>
    <row r="64" hidden="1" outlineLevel="1"/>
    <row r="65" spans="2:7" hidden="1" collapsed="1"/>
    <row r="69" spans="2:7" hidden="1">
      <c r="B69" s="70"/>
      <c r="C69" s="70"/>
      <c r="D69" s="69"/>
      <c r="E69" s="69"/>
      <c r="F69" s="69"/>
      <c r="G69" s="69"/>
    </row>
    <row r="70" spans="2:7" hidden="1">
      <c r="B70" s="70"/>
      <c r="C70" s="70"/>
      <c r="D70" s="69"/>
      <c r="E70" s="69"/>
      <c r="F70" s="69"/>
      <c r="G70" s="69"/>
    </row>
    <row r="71" spans="2:7" hidden="1">
      <c r="B71" s="70"/>
      <c r="C71" s="70"/>
      <c r="D71" s="69"/>
      <c r="E71" s="69"/>
      <c r="F71" s="69"/>
      <c r="G71" s="69"/>
    </row>
    <row r="72" spans="2:7" hidden="1">
      <c r="B72" s="70"/>
      <c r="C72" s="70"/>
      <c r="D72" s="69"/>
      <c r="E72" s="69"/>
      <c r="F72" s="69"/>
      <c r="G72" s="69"/>
    </row>
    <row r="73" spans="2:7" hidden="1">
      <c r="B73" s="70"/>
      <c r="C73" s="70"/>
      <c r="D73" s="69"/>
      <c r="E73" s="69"/>
      <c r="F73" s="69"/>
      <c r="G73" s="69"/>
    </row>
    <row r="74" spans="2:7" hidden="1">
      <c r="B74" s="70"/>
      <c r="C74" s="70"/>
      <c r="D74" s="69"/>
      <c r="E74" s="69"/>
      <c r="F74" s="69"/>
      <c r="G74" s="69"/>
    </row>
    <row r="75" spans="2:7" hidden="1">
      <c r="B75" s="70"/>
      <c r="C75" s="70"/>
      <c r="D75" s="69"/>
      <c r="E75" s="69"/>
      <c r="F75" s="69"/>
      <c r="G75" s="69"/>
    </row>
    <row r="76" spans="2:7" hidden="1">
      <c r="B76" s="70"/>
      <c r="C76" s="70"/>
      <c r="D76" s="69"/>
      <c r="E76" s="69"/>
      <c r="F76" s="69"/>
      <c r="G76" s="69"/>
    </row>
    <row r="77" spans="2:7" hidden="1">
      <c r="B77" s="70"/>
      <c r="C77" s="70"/>
      <c r="D77" s="69"/>
      <c r="E77" s="69"/>
      <c r="F77" s="69"/>
      <c r="G77" s="69"/>
    </row>
    <row r="78" spans="2:7" hidden="1">
      <c r="B78" s="70"/>
      <c r="C78" s="70"/>
      <c r="D78" s="69"/>
      <c r="E78" s="69"/>
      <c r="F78" s="69"/>
      <c r="G78" s="69"/>
    </row>
    <row r="79" spans="2:7" hidden="1">
      <c r="B79" s="70"/>
      <c r="C79" s="70"/>
      <c r="D79" s="69"/>
      <c r="E79" s="69"/>
      <c r="F79" s="69"/>
      <c r="G79" s="69"/>
    </row>
    <row r="80" spans="2:7" hidden="1">
      <c r="B80" s="70"/>
      <c r="C80" s="70"/>
      <c r="D80" s="69"/>
      <c r="E80" s="69"/>
      <c r="F80" s="69"/>
      <c r="G80" s="69"/>
    </row>
    <row r="81" spans="2:7" hidden="1">
      <c r="B81" s="70"/>
      <c r="C81" s="70"/>
      <c r="D81" s="69"/>
      <c r="E81" s="69"/>
      <c r="F81" s="69"/>
      <c r="G81" s="69"/>
    </row>
    <row r="82" spans="2:7" hidden="1">
      <c r="B82" s="70"/>
      <c r="C82" s="70"/>
      <c r="D82" s="69"/>
      <c r="E82" s="69"/>
      <c r="F82" s="69"/>
      <c r="G82" s="69"/>
    </row>
    <row r="83" spans="2:7" hidden="1">
      <c r="B83" s="70"/>
      <c r="C83" s="70"/>
      <c r="D83" s="69"/>
      <c r="E83" s="69"/>
      <c r="F83" s="69"/>
      <c r="G83" s="69"/>
    </row>
    <row r="84" spans="2:7" hidden="1">
      <c r="B84" s="70"/>
      <c r="C84" s="70"/>
      <c r="D84" s="69"/>
      <c r="E84" s="69"/>
      <c r="F84" s="69"/>
      <c r="G84" s="69"/>
    </row>
    <row r="85" spans="2:7" hidden="1">
      <c r="B85" s="70"/>
      <c r="C85" s="70"/>
      <c r="D85" s="69"/>
      <c r="E85" s="69"/>
      <c r="F85" s="69"/>
      <c r="G85" s="69"/>
    </row>
    <row r="86" spans="2:7" hidden="1">
      <c r="B86" s="70"/>
      <c r="C86" s="70"/>
      <c r="D86" s="69"/>
      <c r="E86" s="69"/>
      <c r="F86" s="69"/>
      <c r="G86" s="69"/>
    </row>
    <row r="87" spans="2:7" ht="12.6" hidden="1" customHeight="1">
      <c r="B87" s="70"/>
      <c r="C87" s="70"/>
      <c r="D87" s="69"/>
      <c r="E87" s="69"/>
      <c r="F87" s="69"/>
      <c r="G87" s="69"/>
    </row>
    <row r="88" spans="2:7" hidden="1">
      <c r="B88" s="70"/>
      <c r="C88" s="70"/>
      <c r="D88" s="69"/>
      <c r="E88" s="69"/>
      <c r="F88" s="69"/>
      <c r="G88" s="69"/>
    </row>
    <row r="89" spans="2:7" hidden="1">
      <c r="B89" s="70"/>
      <c r="C89" s="70"/>
      <c r="D89" s="69"/>
      <c r="E89" s="69"/>
      <c r="F89" s="69"/>
      <c r="G89" s="69"/>
    </row>
    <row r="90" spans="2:7" hidden="1">
      <c r="B90" s="70"/>
      <c r="C90" s="70"/>
      <c r="D90" s="69"/>
      <c r="E90" s="69"/>
      <c r="F90" s="69"/>
      <c r="G90" s="69"/>
    </row>
    <row r="91" spans="2:7" hidden="1">
      <c r="B91" s="70"/>
      <c r="C91" s="70"/>
      <c r="D91" s="69"/>
      <c r="E91" s="69"/>
      <c r="F91" s="69"/>
      <c r="G91" s="69"/>
    </row>
    <row r="92" spans="2:7" hidden="1">
      <c r="B92" s="70"/>
      <c r="C92" s="70"/>
      <c r="D92" s="69"/>
      <c r="E92" s="69"/>
      <c r="F92" s="69"/>
      <c r="G92" s="69"/>
    </row>
    <row r="93" spans="2:7" hidden="1">
      <c r="B93" s="70"/>
      <c r="C93" s="70"/>
      <c r="D93" s="69"/>
      <c r="E93" s="69"/>
      <c r="F93" s="69"/>
      <c r="G93" s="69"/>
    </row>
    <row r="94" spans="2:7" hidden="1">
      <c r="B94" s="70"/>
      <c r="C94" s="70"/>
      <c r="D94" s="69"/>
      <c r="E94" s="69"/>
      <c r="F94" s="69"/>
      <c r="G94" s="69"/>
    </row>
    <row r="95" spans="2:7" hidden="1">
      <c r="B95" s="70"/>
      <c r="C95" s="70"/>
      <c r="D95" s="69"/>
      <c r="E95" s="69"/>
      <c r="F95" s="69"/>
      <c r="G95" s="69"/>
    </row>
    <row r="96" spans="2:7" hidden="1">
      <c r="B96" s="70"/>
      <c r="C96" s="70"/>
      <c r="D96" s="69"/>
      <c r="E96" s="69"/>
      <c r="F96" s="69"/>
      <c r="G96" s="69"/>
    </row>
    <row r="97" spans="2:7" hidden="1">
      <c r="B97" s="70"/>
      <c r="C97" s="70"/>
      <c r="D97" s="69"/>
      <c r="E97" s="69"/>
      <c r="F97" s="69"/>
      <c r="G97" s="69"/>
    </row>
    <row r="98" spans="2:7" hidden="1">
      <c r="B98" s="70"/>
      <c r="C98" s="70"/>
      <c r="D98" s="69"/>
      <c r="E98" s="69"/>
      <c r="F98" s="69"/>
      <c r="G98" s="69"/>
    </row>
    <row r="99" spans="2:7" hidden="1">
      <c r="B99" s="70"/>
      <c r="C99" s="70"/>
      <c r="D99" s="69"/>
      <c r="E99" s="69"/>
      <c r="F99" s="69"/>
      <c r="G99" s="69"/>
    </row>
    <row r="100" spans="2:7" hidden="1">
      <c r="B100" s="70"/>
      <c r="C100" s="70"/>
      <c r="D100" s="69"/>
      <c r="E100" s="69"/>
      <c r="F100" s="69"/>
      <c r="G100" s="69"/>
    </row>
    <row r="101" spans="2:7" hidden="1">
      <c r="B101" s="70"/>
      <c r="C101" s="70"/>
      <c r="D101" s="69"/>
      <c r="E101" s="69"/>
      <c r="F101" s="69"/>
      <c r="G101" s="69"/>
    </row>
  </sheetData>
  <sheetProtection algorithmName="SHA-512" hashValue="IFmM0VAEmZ128Vs6rP7RxduGQ0ilEc+iAGO7XJKWO48aUBWDMtcdclsETuxADDvOveVOGxPCMRH/f+eTmq0vew==" saltValue="9JJAmbQlbuRLwB2Ag7rzIg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2B11B-67BD-4CA7-B278-5EA631A6E7DD}">
  <sheetPr>
    <tabColor theme="0"/>
  </sheetPr>
  <dimension ref="A1:U72"/>
  <sheetViews>
    <sheetView topLeftCell="A15" zoomScale="85" zoomScaleNormal="85" workbookViewId="0">
      <selection activeCell="A53" sqref="A53:XFD1048576"/>
    </sheetView>
  </sheetViews>
  <sheetFormatPr defaultColWidth="0" defaultRowHeight="14.45" zeroHeight="1"/>
  <cols>
    <col min="1" max="1" width="3.85546875" style="14" customWidth="1"/>
    <col min="2" max="2" width="61.7109375" style="14" bestFit="1" customWidth="1"/>
    <col min="3" max="20" width="10" style="14" customWidth="1"/>
    <col min="21" max="21" width="10.5703125" style="14" customWidth="1"/>
    <col min="22" max="16384" width="8.85546875" style="14" hidden="1"/>
  </cols>
  <sheetData>
    <row r="1" spans="2:20"/>
    <row r="2" spans="2:20" ht="15.6">
      <c r="B2" s="44" t="s">
        <v>89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2:20">
      <c r="B3" s="53"/>
    </row>
    <row r="4" spans="2:20">
      <c r="B4" s="30" t="s">
        <v>90</v>
      </c>
      <c r="C4" s="66"/>
      <c r="D4" s="66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2:20">
      <c r="B5" s="53"/>
    </row>
    <row r="6" spans="2:20">
      <c r="B6" s="144" t="s">
        <v>91</v>
      </c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</row>
    <row r="7" spans="2:20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2:20">
      <c r="B8" s="59"/>
      <c r="C8" s="41" t="s">
        <v>92</v>
      </c>
      <c r="D8" s="41" t="s">
        <v>93</v>
      </c>
      <c r="E8" s="41" t="s">
        <v>94</v>
      </c>
      <c r="F8" s="41" t="s">
        <v>95</v>
      </c>
      <c r="G8" s="41" t="s">
        <v>96</v>
      </c>
      <c r="H8" s="41" t="s">
        <v>97</v>
      </c>
      <c r="I8" s="41" t="s">
        <v>98</v>
      </c>
      <c r="J8" s="41" t="s">
        <v>99</v>
      </c>
      <c r="K8" s="41" t="s">
        <v>100</v>
      </c>
      <c r="L8" s="41" t="s">
        <v>101</v>
      </c>
      <c r="M8" s="41" t="s">
        <v>102</v>
      </c>
      <c r="N8" s="41" t="s">
        <v>103</v>
      </c>
      <c r="O8" s="41" t="s">
        <v>104</v>
      </c>
      <c r="P8" s="41" t="s">
        <v>105</v>
      </c>
      <c r="Q8" s="41" t="s">
        <v>106</v>
      </c>
      <c r="R8" s="41" t="s">
        <v>107</v>
      </c>
      <c r="S8" s="41" t="s">
        <v>108</v>
      </c>
      <c r="T8" s="41" t="s">
        <v>109</v>
      </c>
    </row>
    <row r="9" spans="2:20">
      <c r="B9" s="120" t="s">
        <v>29</v>
      </c>
      <c r="C9" s="51">
        <f>Results!$C$73/12</f>
        <v>41248.055555555555</v>
      </c>
      <c r="D9" s="51">
        <f>Results!$C$73/12</f>
        <v>41248.055555555555</v>
      </c>
      <c r="E9" s="51">
        <f>Results!$C$73/12</f>
        <v>41248.055555555555</v>
      </c>
      <c r="F9" s="51">
        <f>Results!$C$73/12</f>
        <v>41248.055555555555</v>
      </c>
      <c r="G9" s="51">
        <f>Results!$C$73/12</f>
        <v>41248.055555555555</v>
      </c>
      <c r="H9" s="51">
        <f>Results!$C$73/12</f>
        <v>41248.055555555555</v>
      </c>
      <c r="I9" s="51">
        <f>Results!$C$73/12</f>
        <v>41248.055555555555</v>
      </c>
      <c r="J9" s="51">
        <f>Results!$C$73/12</f>
        <v>41248.055555555555</v>
      </c>
      <c r="K9" s="51">
        <f>Results!$C$73/12</f>
        <v>41248.055555555555</v>
      </c>
      <c r="L9" s="51">
        <f>Results!$C$73/12</f>
        <v>41248.055555555555</v>
      </c>
      <c r="M9" s="51">
        <f>Results!$C$73/12</f>
        <v>41248.055555555555</v>
      </c>
      <c r="N9" s="51">
        <f>Results!$C$73/12</f>
        <v>41248.055555555555</v>
      </c>
      <c r="O9" s="51">
        <f>Results!$D$73/12</f>
        <v>43310.458333333336</v>
      </c>
      <c r="P9" s="51">
        <f>Results!$D$73/12</f>
        <v>43310.458333333336</v>
      </c>
      <c r="Q9" s="51">
        <f>Results!$D$73/12</f>
        <v>43310.458333333336</v>
      </c>
      <c r="R9" s="51">
        <f>Results!$D$73/12</f>
        <v>43310.458333333336</v>
      </c>
      <c r="S9" s="51">
        <f>Results!$D$73/12</f>
        <v>43310.458333333336</v>
      </c>
      <c r="T9" s="51">
        <f>Results!$D$73/12</f>
        <v>43310.458333333336</v>
      </c>
    </row>
    <row r="10" spans="2:20">
      <c r="B10" s="72" t="s">
        <v>110</v>
      </c>
      <c r="C10" s="51">
        <f>Results!$C$77</f>
        <v>95000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f>Results!$D$75</f>
        <v>5000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</row>
    <row r="11" spans="2:20">
      <c r="B11" s="110" t="s">
        <v>111</v>
      </c>
      <c r="C11" s="51">
        <f>C9-C10</f>
        <v>-53751.944444444445</v>
      </c>
      <c r="D11" s="51">
        <f t="shared" ref="D11:T11" si="0">C11+(D9-D10)</f>
        <v>-12503.888888888891</v>
      </c>
      <c r="E11" s="51">
        <f t="shared" si="0"/>
        <v>28744.166666666664</v>
      </c>
      <c r="F11" s="51">
        <f t="shared" si="0"/>
        <v>69992.222222222219</v>
      </c>
      <c r="G11" s="51">
        <f t="shared" si="0"/>
        <v>111240.27777777778</v>
      </c>
      <c r="H11" s="51">
        <f t="shared" si="0"/>
        <v>152488.33333333334</v>
      </c>
      <c r="I11" s="51">
        <f t="shared" si="0"/>
        <v>193736.38888888891</v>
      </c>
      <c r="J11" s="51">
        <f t="shared" si="0"/>
        <v>234984.44444444447</v>
      </c>
      <c r="K11" s="51">
        <f t="shared" si="0"/>
        <v>276232.5</v>
      </c>
      <c r="L11" s="51">
        <f t="shared" si="0"/>
        <v>317480.55555555556</v>
      </c>
      <c r="M11" s="51">
        <f t="shared" si="0"/>
        <v>358728.61111111112</v>
      </c>
      <c r="N11" s="51">
        <f t="shared" si="0"/>
        <v>399976.66666666669</v>
      </c>
      <c r="O11" s="51">
        <f t="shared" si="0"/>
        <v>438287.125</v>
      </c>
      <c r="P11" s="51">
        <f t="shared" si="0"/>
        <v>481597.58333333331</v>
      </c>
      <c r="Q11" s="51">
        <f t="shared" si="0"/>
        <v>524908.04166666663</v>
      </c>
      <c r="R11" s="51">
        <f t="shared" si="0"/>
        <v>568218.5</v>
      </c>
      <c r="S11" s="51">
        <f t="shared" si="0"/>
        <v>611528.95833333337</v>
      </c>
      <c r="T11" s="51">
        <f t="shared" si="0"/>
        <v>654839.41666666674</v>
      </c>
    </row>
    <row r="12" spans="2:20"/>
    <row r="13" spans="2:20">
      <c r="B13" s="30" t="s">
        <v>112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2:20">
      <c r="B14" s="62"/>
      <c r="C14" s="62"/>
    </row>
    <row r="15" spans="2:20">
      <c r="B15" s="15" t="s">
        <v>29</v>
      </c>
      <c r="C15" s="68" t="s">
        <v>113</v>
      </c>
      <c r="D15" s="68" t="s">
        <v>114</v>
      </c>
      <c r="E15" s="68" t="s">
        <v>115</v>
      </c>
      <c r="F15" s="68" t="s">
        <v>116</v>
      </c>
      <c r="G15" s="68" t="s">
        <v>117</v>
      </c>
    </row>
    <row r="16" spans="2:20">
      <c r="B16" s="145" t="s">
        <v>118</v>
      </c>
      <c r="C16" s="91">
        <f>'{Check}'!C18+'{Check}'!C29</f>
        <v>494976.66666666669</v>
      </c>
      <c r="D16" s="91">
        <f>'{Check}'!D18+'{Check}'!D29</f>
        <v>519725.5</v>
      </c>
      <c r="E16" s="91">
        <f>'{Check}'!E18+'{Check}'!E29</f>
        <v>545711.77500000002</v>
      </c>
      <c r="F16" s="91">
        <f>'{Check}'!F18+'{Check}'!F29</f>
        <v>572997.36375000002</v>
      </c>
      <c r="G16" s="91">
        <f>'{Check}'!G18+'{Check}'!G29</f>
        <v>601647.23193750007</v>
      </c>
    </row>
    <row r="17" spans="2:20">
      <c r="B17" s="145" t="s">
        <v>119</v>
      </c>
      <c r="C17" s="91">
        <f>'{Check}'!C18+'{Check}'!C39</f>
        <v>563662.17870257038</v>
      </c>
      <c r="D17" s="91">
        <f>'{Check}'!D18+'{Check}'!D39</f>
        <v>591845.28763769893</v>
      </c>
      <c r="E17" s="91">
        <f>'{Check}'!E18+'{Check}'!E39</f>
        <v>621437.55201958388</v>
      </c>
      <c r="F17" s="91">
        <f>'{Check}'!F18+'{Check}'!F39</f>
        <v>652509.42962056305</v>
      </c>
      <c r="G17" s="91">
        <f>'{Check}'!G18+'{Check}'!G39</f>
        <v>685134.9011015913</v>
      </c>
    </row>
    <row r="18" spans="2:20">
      <c r="B18" s="145" t="s">
        <v>120</v>
      </c>
      <c r="C18" s="91">
        <f>'{Check}'!C18+'{Check}'!C43</f>
        <v>647324.35740514076</v>
      </c>
      <c r="D18" s="91">
        <f>'{Check}'!D18+'{Check}'!D43</f>
        <v>679690.57527539786</v>
      </c>
      <c r="E18" s="91">
        <f>'{Check}'!E18+'{Check}'!E43</f>
        <v>713675.10403916775</v>
      </c>
      <c r="F18" s="91">
        <f>'{Check}'!F18+'{Check}'!F43</f>
        <v>749358.85924112611</v>
      </c>
      <c r="G18" s="91">
        <f>'{Check}'!G18+'{Check}'!G43</f>
        <v>786826.8022031826</v>
      </c>
    </row>
    <row r="19" spans="2:20">
      <c r="B19" s="69"/>
      <c r="C19" s="91"/>
      <c r="D19" s="91"/>
      <c r="E19" s="91"/>
      <c r="F19" s="91"/>
      <c r="G19" s="91"/>
    </row>
    <row r="20" spans="2:20">
      <c r="B20" s="118" t="s">
        <v>121</v>
      </c>
      <c r="C20" s="68" t="s">
        <v>113</v>
      </c>
      <c r="D20" s="68" t="s">
        <v>114</v>
      </c>
      <c r="E20" s="68" t="s">
        <v>115</v>
      </c>
      <c r="F20" s="68" t="s">
        <v>116</v>
      </c>
      <c r="G20" s="68" t="s">
        <v>117</v>
      </c>
    </row>
    <row r="21" spans="2:20">
      <c r="B21" s="145" t="s">
        <v>118</v>
      </c>
      <c r="C21" s="92">
        <f>C16-Results!C$77</f>
        <v>399976.66666666669</v>
      </c>
      <c r="D21" s="92">
        <f>D16-Results!D$77</f>
        <v>514725.5</v>
      </c>
      <c r="E21" s="92">
        <f>E16-Results!E$77</f>
        <v>540711.77500000002</v>
      </c>
      <c r="F21" s="92">
        <f>F16-Results!F$77</f>
        <v>567997.36375000002</v>
      </c>
      <c r="G21" s="92">
        <f>G16-Results!G$77</f>
        <v>596647.23193750007</v>
      </c>
    </row>
    <row r="22" spans="2:20">
      <c r="B22" s="145" t="s">
        <v>119</v>
      </c>
      <c r="C22" s="92">
        <f>C17-Results!C$77</f>
        <v>468662.17870257038</v>
      </c>
      <c r="D22" s="92">
        <f>D17-Results!D$77</f>
        <v>586845.28763769893</v>
      </c>
      <c r="E22" s="92">
        <f>E17-Results!E$77</f>
        <v>616437.55201958388</v>
      </c>
      <c r="F22" s="92">
        <f>F17-Results!F$77</f>
        <v>647509.42962056305</v>
      </c>
      <c r="G22" s="92">
        <f>G17-Results!G$77</f>
        <v>680134.9011015913</v>
      </c>
    </row>
    <row r="23" spans="2:20">
      <c r="B23" s="145" t="s">
        <v>120</v>
      </c>
      <c r="C23" s="92">
        <f>C18-Results!C$77</f>
        <v>552324.35740514076</v>
      </c>
      <c r="D23" s="92">
        <f>D18-Results!D$77</f>
        <v>674690.57527539786</v>
      </c>
      <c r="E23" s="92">
        <f>E18-Results!E$77</f>
        <v>708675.10403916775</v>
      </c>
      <c r="F23" s="92">
        <f>F18-Results!F$77</f>
        <v>744358.85924112611</v>
      </c>
      <c r="G23" s="92">
        <f>G18-Results!G$77</f>
        <v>781826.8022031826</v>
      </c>
    </row>
    <row r="24" spans="2:20">
      <c r="B24" s="69"/>
      <c r="C24" s="92"/>
      <c r="D24" s="92"/>
      <c r="E24" s="92"/>
      <c r="F24" s="92"/>
      <c r="G24" s="92"/>
    </row>
    <row r="25" spans="2:20">
      <c r="B25" s="118" t="s">
        <v>122</v>
      </c>
      <c r="C25" s="68" t="s">
        <v>113</v>
      </c>
      <c r="D25" s="68" t="s">
        <v>114</v>
      </c>
      <c r="E25" s="68" t="s">
        <v>115</v>
      </c>
      <c r="F25" s="68" t="s">
        <v>116</v>
      </c>
      <c r="G25" s="68" t="s">
        <v>117</v>
      </c>
    </row>
    <row r="26" spans="2:20">
      <c r="B26" s="145" t="s">
        <v>118</v>
      </c>
      <c r="C26" s="92">
        <f>C21</f>
        <v>399976.66666666669</v>
      </c>
      <c r="D26" s="92">
        <f>C26+D21</f>
        <v>914702.16666666674</v>
      </c>
      <c r="E26" s="92">
        <f t="shared" ref="E26:F26" si="1">D26+E21</f>
        <v>1455413.9416666669</v>
      </c>
      <c r="F26" s="92">
        <f t="shared" si="1"/>
        <v>2023411.3054166669</v>
      </c>
      <c r="G26" s="92">
        <f>F26+G21</f>
        <v>2620058.5373541671</v>
      </c>
    </row>
    <row r="27" spans="2:20">
      <c r="B27" s="145" t="s">
        <v>119</v>
      </c>
      <c r="C27" s="92">
        <f>C22</f>
        <v>468662.17870257038</v>
      </c>
      <c r="D27" s="92">
        <f>C27+D22</f>
        <v>1055507.4663402694</v>
      </c>
      <c r="E27" s="92">
        <f t="shared" ref="E27:F27" si="2">D27+E22</f>
        <v>1671945.0183598534</v>
      </c>
      <c r="F27" s="92">
        <f t="shared" si="2"/>
        <v>2319454.4479804165</v>
      </c>
      <c r="G27" s="92">
        <f>F27+G22</f>
        <v>2999589.349082008</v>
      </c>
    </row>
    <row r="28" spans="2:20">
      <c r="B28" s="145" t="s">
        <v>120</v>
      </c>
      <c r="C28" s="92">
        <f>C23</f>
        <v>552324.35740514076</v>
      </c>
      <c r="D28" s="92">
        <f>C28+D23</f>
        <v>1227014.9326805386</v>
      </c>
      <c r="E28" s="92">
        <f t="shared" ref="E28:F28" si="3">D28+E23</f>
        <v>1935690.0367197064</v>
      </c>
      <c r="F28" s="92">
        <f t="shared" si="3"/>
        <v>2680048.8959608325</v>
      </c>
      <c r="G28" s="92">
        <f>F28+G23</f>
        <v>3461875.6981640151</v>
      </c>
    </row>
    <row r="29" spans="2:20">
      <c r="B29" s="69"/>
      <c r="C29" s="92"/>
      <c r="D29" s="92"/>
      <c r="E29" s="92"/>
      <c r="F29" s="92"/>
      <c r="G29" s="92"/>
    </row>
    <row r="30" spans="2:20">
      <c r="B30" s="69"/>
      <c r="C30" s="92"/>
      <c r="D30" s="92"/>
      <c r="E30" s="92"/>
      <c r="F30" s="92"/>
      <c r="G30" s="92"/>
    </row>
    <row r="31" spans="2:20">
      <c r="B31" s="30" t="s">
        <v>123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2:20"/>
    <row r="33" spans="2:20">
      <c r="B33" s="14" t="s">
        <v>124</v>
      </c>
      <c r="C33" s="41" t="s">
        <v>92</v>
      </c>
      <c r="D33" s="41" t="s">
        <v>93</v>
      </c>
      <c r="E33" s="41" t="s">
        <v>94</v>
      </c>
      <c r="F33" s="41" t="s">
        <v>95</v>
      </c>
      <c r="G33" s="41" t="s">
        <v>96</v>
      </c>
      <c r="H33" s="41" t="s">
        <v>97</v>
      </c>
      <c r="I33" s="41" t="s">
        <v>98</v>
      </c>
      <c r="J33" s="41" t="s">
        <v>99</v>
      </c>
      <c r="K33" s="41" t="s">
        <v>100</v>
      </c>
      <c r="L33" s="41" t="s">
        <v>101</v>
      </c>
      <c r="M33" s="41" t="s">
        <v>102</v>
      </c>
      <c r="N33" s="41" t="s">
        <v>103</v>
      </c>
      <c r="O33" s="41" t="s">
        <v>104</v>
      </c>
      <c r="P33" s="41" t="s">
        <v>105</v>
      </c>
      <c r="Q33" s="41" t="s">
        <v>106</v>
      </c>
      <c r="R33" s="41" t="s">
        <v>107</v>
      </c>
      <c r="S33" s="41" t="s">
        <v>108</v>
      </c>
      <c r="T33" s="41" t="s">
        <v>109</v>
      </c>
    </row>
    <row r="34" spans="2:20">
      <c r="B34" s="145" t="s">
        <v>118</v>
      </c>
      <c r="C34" s="47">
        <f t="shared" ref="C34:N34" si="4">$C16/12</f>
        <v>41248.055555555555</v>
      </c>
      <c r="D34" s="47">
        <f t="shared" si="4"/>
        <v>41248.055555555555</v>
      </c>
      <c r="E34" s="47">
        <f t="shared" si="4"/>
        <v>41248.055555555555</v>
      </c>
      <c r="F34" s="47">
        <f t="shared" si="4"/>
        <v>41248.055555555555</v>
      </c>
      <c r="G34" s="47">
        <f t="shared" si="4"/>
        <v>41248.055555555555</v>
      </c>
      <c r="H34" s="47">
        <f t="shared" si="4"/>
        <v>41248.055555555555</v>
      </c>
      <c r="I34" s="47">
        <f t="shared" si="4"/>
        <v>41248.055555555555</v>
      </c>
      <c r="J34" s="47">
        <f t="shared" si="4"/>
        <v>41248.055555555555</v>
      </c>
      <c r="K34" s="47">
        <f t="shared" si="4"/>
        <v>41248.055555555555</v>
      </c>
      <c r="L34" s="47">
        <f t="shared" si="4"/>
        <v>41248.055555555555</v>
      </c>
      <c r="M34" s="47">
        <f t="shared" si="4"/>
        <v>41248.055555555555</v>
      </c>
      <c r="N34" s="47">
        <f t="shared" si="4"/>
        <v>41248.055555555555</v>
      </c>
      <c r="O34" s="48">
        <f t="shared" ref="O34:T36" si="5">$D16/12</f>
        <v>43310.458333333336</v>
      </c>
      <c r="P34" s="48">
        <f t="shared" si="5"/>
        <v>43310.458333333336</v>
      </c>
      <c r="Q34" s="48">
        <f t="shared" si="5"/>
        <v>43310.458333333336</v>
      </c>
      <c r="R34" s="48">
        <f t="shared" si="5"/>
        <v>43310.458333333336</v>
      </c>
      <c r="S34" s="48">
        <f t="shared" si="5"/>
        <v>43310.458333333336</v>
      </c>
      <c r="T34" s="48">
        <f t="shared" si="5"/>
        <v>43310.458333333336</v>
      </c>
    </row>
    <row r="35" spans="2:20">
      <c r="B35" s="145" t="s">
        <v>119</v>
      </c>
      <c r="C35" s="47">
        <f t="shared" ref="C35:N35" si="6">$C17/12</f>
        <v>46971.848225214198</v>
      </c>
      <c r="D35" s="47">
        <f t="shared" si="6"/>
        <v>46971.848225214198</v>
      </c>
      <c r="E35" s="47">
        <f t="shared" si="6"/>
        <v>46971.848225214198</v>
      </c>
      <c r="F35" s="47">
        <f t="shared" si="6"/>
        <v>46971.848225214198</v>
      </c>
      <c r="G35" s="47">
        <f t="shared" si="6"/>
        <v>46971.848225214198</v>
      </c>
      <c r="H35" s="47">
        <f t="shared" si="6"/>
        <v>46971.848225214198</v>
      </c>
      <c r="I35" s="47">
        <f t="shared" si="6"/>
        <v>46971.848225214198</v>
      </c>
      <c r="J35" s="47">
        <f t="shared" si="6"/>
        <v>46971.848225214198</v>
      </c>
      <c r="K35" s="47">
        <f t="shared" si="6"/>
        <v>46971.848225214198</v>
      </c>
      <c r="L35" s="47">
        <f t="shared" si="6"/>
        <v>46971.848225214198</v>
      </c>
      <c r="M35" s="47">
        <f t="shared" si="6"/>
        <v>46971.848225214198</v>
      </c>
      <c r="N35" s="47">
        <f t="shared" si="6"/>
        <v>46971.848225214198</v>
      </c>
      <c r="O35" s="48">
        <f t="shared" si="5"/>
        <v>49320.440636474908</v>
      </c>
      <c r="P35" s="48">
        <f t="shared" si="5"/>
        <v>49320.440636474908</v>
      </c>
      <c r="Q35" s="48">
        <f t="shared" si="5"/>
        <v>49320.440636474908</v>
      </c>
      <c r="R35" s="48">
        <f t="shared" si="5"/>
        <v>49320.440636474908</v>
      </c>
      <c r="S35" s="48">
        <f t="shared" si="5"/>
        <v>49320.440636474908</v>
      </c>
      <c r="T35" s="48">
        <f t="shared" si="5"/>
        <v>49320.440636474908</v>
      </c>
    </row>
    <row r="36" spans="2:20">
      <c r="B36" s="145" t="s">
        <v>120</v>
      </c>
      <c r="C36" s="47">
        <f t="shared" ref="C36:N36" si="7">$C18/12</f>
        <v>53943.696450428397</v>
      </c>
      <c r="D36" s="47">
        <f t="shared" si="7"/>
        <v>53943.696450428397</v>
      </c>
      <c r="E36" s="47">
        <f t="shared" si="7"/>
        <v>53943.696450428397</v>
      </c>
      <c r="F36" s="47">
        <f t="shared" si="7"/>
        <v>53943.696450428397</v>
      </c>
      <c r="G36" s="47">
        <f t="shared" si="7"/>
        <v>53943.696450428397</v>
      </c>
      <c r="H36" s="47">
        <f t="shared" si="7"/>
        <v>53943.696450428397</v>
      </c>
      <c r="I36" s="47">
        <f t="shared" si="7"/>
        <v>53943.696450428397</v>
      </c>
      <c r="J36" s="47">
        <f t="shared" si="7"/>
        <v>53943.696450428397</v>
      </c>
      <c r="K36" s="47">
        <f t="shared" si="7"/>
        <v>53943.696450428397</v>
      </c>
      <c r="L36" s="47">
        <f t="shared" si="7"/>
        <v>53943.696450428397</v>
      </c>
      <c r="M36" s="47">
        <f t="shared" si="7"/>
        <v>53943.696450428397</v>
      </c>
      <c r="N36" s="47">
        <f t="shared" si="7"/>
        <v>53943.696450428397</v>
      </c>
      <c r="O36" s="48">
        <f t="shared" si="5"/>
        <v>56640.881272949824</v>
      </c>
      <c r="P36" s="48">
        <f t="shared" si="5"/>
        <v>56640.881272949824</v>
      </c>
      <c r="Q36" s="48">
        <f t="shared" si="5"/>
        <v>56640.881272949824</v>
      </c>
      <c r="R36" s="48">
        <f t="shared" si="5"/>
        <v>56640.881272949824</v>
      </c>
      <c r="S36" s="48">
        <f t="shared" si="5"/>
        <v>56640.881272949824</v>
      </c>
      <c r="T36" s="48">
        <f t="shared" si="5"/>
        <v>56640.881272949824</v>
      </c>
    </row>
    <row r="37" spans="2:20"/>
    <row r="38" spans="2:20">
      <c r="B38" s="72" t="s">
        <v>110</v>
      </c>
      <c r="C38" s="47">
        <f>Results!$C$77</f>
        <v>95000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f>Results!$D$75</f>
        <v>5000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</row>
    <row r="39" spans="2:20"/>
    <row r="40" spans="2:20">
      <c r="B40" s="15" t="s">
        <v>111</v>
      </c>
      <c r="C40" s="41" t="s">
        <v>92</v>
      </c>
      <c r="D40" s="41" t="s">
        <v>93</v>
      </c>
      <c r="E40" s="41" t="s">
        <v>94</v>
      </c>
      <c r="F40" s="41" t="s">
        <v>95</v>
      </c>
      <c r="G40" s="41" t="s">
        <v>96</v>
      </c>
      <c r="H40" s="41" t="s">
        <v>97</v>
      </c>
      <c r="I40" s="41" t="s">
        <v>98</v>
      </c>
      <c r="J40" s="41" t="s">
        <v>99</v>
      </c>
      <c r="K40" s="41" t="s">
        <v>100</v>
      </c>
      <c r="L40" s="41" t="s">
        <v>101</v>
      </c>
      <c r="M40" s="41" t="s">
        <v>102</v>
      </c>
      <c r="N40" s="41" t="s">
        <v>103</v>
      </c>
      <c r="O40" s="41" t="s">
        <v>104</v>
      </c>
      <c r="P40" s="41" t="s">
        <v>105</v>
      </c>
      <c r="Q40" s="41" t="s">
        <v>106</v>
      </c>
      <c r="R40" s="41" t="s">
        <v>107</v>
      </c>
      <c r="S40" s="41" t="s">
        <v>108</v>
      </c>
      <c r="T40" s="41" t="s">
        <v>109</v>
      </c>
    </row>
    <row r="41" spans="2:20">
      <c r="B41" s="145" t="s">
        <v>118</v>
      </c>
      <c r="C41" s="48">
        <f>C34-$C$38</f>
        <v>-53751.944444444445</v>
      </c>
      <c r="D41" s="48">
        <f t="shared" ref="D41:T41" si="8">C41+(D34-D$38)</f>
        <v>-12503.888888888891</v>
      </c>
      <c r="E41" s="48">
        <f t="shared" si="8"/>
        <v>28744.166666666664</v>
      </c>
      <c r="F41" s="48">
        <f t="shared" si="8"/>
        <v>69992.222222222219</v>
      </c>
      <c r="G41" s="48">
        <f t="shared" si="8"/>
        <v>111240.27777777778</v>
      </c>
      <c r="H41" s="48">
        <f t="shared" si="8"/>
        <v>152488.33333333334</v>
      </c>
      <c r="I41" s="48">
        <f t="shared" si="8"/>
        <v>193736.38888888891</v>
      </c>
      <c r="J41" s="48">
        <f t="shared" si="8"/>
        <v>234984.44444444447</v>
      </c>
      <c r="K41" s="48">
        <f t="shared" si="8"/>
        <v>276232.5</v>
      </c>
      <c r="L41" s="48">
        <f t="shared" si="8"/>
        <v>317480.55555555556</v>
      </c>
      <c r="M41" s="48">
        <f t="shared" si="8"/>
        <v>358728.61111111112</v>
      </c>
      <c r="N41" s="48">
        <f t="shared" si="8"/>
        <v>399976.66666666669</v>
      </c>
      <c r="O41" s="48">
        <f t="shared" si="8"/>
        <v>438287.125</v>
      </c>
      <c r="P41" s="48">
        <f t="shared" si="8"/>
        <v>481597.58333333331</v>
      </c>
      <c r="Q41" s="48">
        <f t="shared" si="8"/>
        <v>524908.04166666663</v>
      </c>
      <c r="R41" s="48">
        <f t="shared" si="8"/>
        <v>568218.5</v>
      </c>
      <c r="S41" s="48">
        <f t="shared" si="8"/>
        <v>611528.95833333337</v>
      </c>
      <c r="T41" s="48">
        <f t="shared" si="8"/>
        <v>654839.41666666674</v>
      </c>
    </row>
    <row r="42" spans="2:20">
      <c r="B42" s="145" t="s">
        <v>119</v>
      </c>
      <c r="C42" s="48">
        <f>C35-$C$38</f>
        <v>-48028.151774785802</v>
      </c>
      <c r="D42" s="48">
        <f t="shared" ref="D42:T42" si="9">C42+(D35-D$38)</f>
        <v>-1056.3035495716031</v>
      </c>
      <c r="E42" s="48">
        <f t="shared" si="9"/>
        <v>45915.544675642595</v>
      </c>
      <c r="F42" s="48">
        <f t="shared" si="9"/>
        <v>92887.392900856794</v>
      </c>
      <c r="G42" s="48">
        <f t="shared" si="9"/>
        <v>139859.24112607099</v>
      </c>
      <c r="H42" s="48">
        <f t="shared" si="9"/>
        <v>186831.08935128519</v>
      </c>
      <c r="I42" s="48">
        <f t="shared" si="9"/>
        <v>233802.93757649939</v>
      </c>
      <c r="J42" s="48">
        <f t="shared" si="9"/>
        <v>280774.78580171359</v>
      </c>
      <c r="K42" s="48">
        <f t="shared" si="9"/>
        <v>327746.63402692776</v>
      </c>
      <c r="L42" s="48">
        <f t="shared" si="9"/>
        <v>374718.48225214193</v>
      </c>
      <c r="M42" s="48">
        <f t="shared" si="9"/>
        <v>421690.3304773561</v>
      </c>
      <c r="N42" s="48">
        <f t="shared" si="9"/>
        <v>468662.17870257027</v>
      </c>
      <c r="O42" s="48">
        <f t="shared" si="9"/>
        <v>512982.6193390452</v>
      </c>
      <c r="P42" s="48">
        <f t="shared" si="9"/>
        <v>562303.05997552013</v>
      </c>
      <c r="Q42" s="48">
        <f t="shared" si="9"/>
        <v>611623.500611995</v>
      </c>
      <c r="R42" s="48">
        <f t="shared" si="9"/>
        <v>660943.94124846987</v>
      </c>
      <c r="S42" s="48">
        <f t="shared" si="9"/>
        <v>710264.38188494474</v>
      </c>
      <c r="T42" s="48">
        <f t="shared" si="9"/>
        <v>759584.82252141961</v>
      </c>
    </row>
    <row r="43" spans="2:20">
      <c r="B43" s="145" t="s">
        <v>120</v>
      </c>
      <c r="C43" s="48">
        <f>C36-$C$38</f>
        <v>-41056.303549571603</v>
      </c>
      <c r="D43" s="48">
        <f t="shared" ref="D43:T43" si="10">C43+(D36-D$38)</f>
        <v>12887.392900856794</v>
      </c>
      <c r="E43" s="48">
        <f t="shared" si="10"/>
        <v>66831.089351285191</v>
      </c>
      <c r="F43" s="48">
        <f t="shared" si="10"/>
        <v>120774.78580171359</v>
      </c>
      <c r="G43" s="48">
        <f t="shared" si="10"/>
        <v>174718.48225214198</v>
      </c>
      <c r="H43" s="48">
        <f t="shared" si="10"/>
        <v>228662.17870257038</v>
      </c>
      <c r="I43" s="48">
        <f t="shared" si="10"/>
        <v>282605.87515299878</v>
      </c>
      <c r="J43" s="48">
        <f t="shared" si="10"/>
        <v>336549.57160342718</v>
      </c>
      <c r="K43" s="48">
        <f t="shared" si="10"/>
        <v>390493.26805385557</v>
      </c>
      <c r="L43" s="48">
        <f t="shared" si="10"/>
        <v>444436.96450428397</v>
      </c>
      <c r="M43" s="48">
        <f t="shared" si="10"/>
        <v>498380.66095471237</v>
      </c>
      <c r="N43" s="48">
        <f t="shared" si="10"/>
        <v>552324.35740514076</v>
      </c>
      <c r="O43" s="48">
        <f t="shared" si="10"/>
        <v>603965.23867809062</v>
      </c>
      <c r="P43" s="48">
        <f t="shared" si="10"/>
        <v>660606.11995104048</v>
      </c>
      <c r="Q43" s="48">
        <f t="shared" si="10"/>
        <v>717247.00122399034</v>
      </c>
      <c r="R43" s="48">
        <f t="shared" si="10"/>
        <v>773887.8824969402</v>
      </c>
      <c r="S43" s="48">
        <f t="shared" si="10"/>
        <v>830528.76376989007</v>
      </c>
      <c r="T43" s="48">
        <f t="shared" si="10"/>
        <v>887169.64504283993</v>
      </c>
    </row>
    <row r="44" spans="2:20"/>
    <row r="45" spans="2:20">
      <c r="B45" s="15" t="s">
        <v>125</v>
      </c>
    </row>
    <row r="46" spans="2:20">
      <c r="B46" s="145" t="s">
        <v>118</v>
      </c>
      <c r="C46" s="147">
        <f>$C$38/C16*12</f>
        <v>2.3031388684988516</v>
      </c>
      <c r="D46" s="14">
        <v>0</v>
      </c>
    </row>
    <row r="47" spans="2:20">
      <c r="B47" s="145" t="s">
        <v>119</v>
      </c>
      <c r="C47" s="147">
        <f>$C$38/C17*12</f>
        <v>2.0224880133416718</v>
      </c>
      <c r="D47" s="14">
        <v>0</v>
      </c>
    </row>
    <row r="48" spans="2:20">
      <c r="B48" s="145" t="s">
        <v>120</v>
      </c>
      <c r="C48" s="147">
        <f t="shared" ref="C48" si="11">$C$38/C18*12</f>
        <v>1.7610954801234344</v>
      </c>
      <c r="D48" s="14">
        <v>0</v>
      </c>
    </row>
    <row r="49" spans="2:7"/>
    <row r="50" spans="2:7"/>
    <row r="51" spans="2:7"/>
    <row r="52" spans="2:7"/>
    <row r="64" spans="2:7" hidden="1">
      <c r="B64" s="59"/>
      <c r="C64" s="68"/>
      <c r="D64" s="68"/>
      <c r="E64" s="68"/>
      <c r="F64" s="68"/>
      <c r="G64" s="68"/>
    </row>
    <row r="65" spans="2:7" hidden="1">
      <c r="B65" s="69"/>
      <c r="C65" s="91"/>
      <c r="D65" s="91"/>
      <c r="E65" s="91"/>
      <c r="F65" s="91"/>
      <c r="G65" s="91"/>
    </row>
    <row r="66" spans="2:7" hidden="1">
      <c r="B66" s="69"/>
      <c r="C66" s="91"/>
      <c r="D66" s="91"/>
      <c r="E66" s="91"/>
      <c r="F66" s="91"/>
      <c r="G66" s="91"/>
    </row>
    <row r="67" spans="2:7" hidden="1">
      <c r="B67" s="69"/>
      <c r="C67" s="91"/>
      <c r="D67" s="91"/>
      <c r="E67" s="91"/>
      <c r="F67" s="91"/>
      <c r="G67" s="91"/>
    </row>
    <row r="68" spans="2:7" hidden="1">
      <c r="B68" s="70"/>
      <c r="C68" s="70"/>
      <c r="D68" s="69"/>
      <c r="E68" s="69"/>
      <c r="F68" s="69"/>
      <c r="G68" s="69"/>
    </row>
    <row r="69" spans="2:7" hidden="1">
      <c r="B69" s="119"/>
      <c r="C69" s="68"/>
      <c r="D69" s="68"/>
      <c r="E69" s="68"/>
      <c r="F69" s="68"/>
      <c r="G69" s="68"/>
    </row>
    <row r="70" spans="2:7" hidden="1">
      <c r="B70" s="69"/>
      <c r="C70" s="92"/>
      <c r="D70" s="92"/>
      <c r="E70" s="92"/>
      <c r="F70" s="92"/>
      <c r="G70" s="92"/>
    </row>
    <row r="71" spans="2:7" hidden="1">
      <c r="B71" s="69"/>
      <c r="C71" s="92"/>
      <c r="D71" s="92"/>
      <c r="E71" s="92"/>
      <c r="F71" s="92"/>
      <c r="G71" s="92"/>
    </row>
    <row r="72" spans="2:7" hidden="1">
      <c r="B72" s="69"/>
      <c r="C72" s="92"/>
      <c r="D72" s="92"/>
      <c r="E72" s="92"/>
      <c r="F72" s="92"/>
      <c r="G72" s="92"/>
    </row>
  </sheetData>
  <sheetProtection algorithmName="SHA-512" hashValue="yT2GyobKoh6ovGG6Ouuq0MfX8KQxeAcfJgPHR0ftqGb0c3zavyKzmqdJiFFnKsQq/P2BGErt6LX8Rc6DfJ4Ndw==" saltValue="Bqj2oAsECDa58YdX+k0fsA==" spinCount="100000"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A4095-0C52-4C57-A939-57068653A739}">
  <sheetPr>
    <tabColor theme="1"/>
  </sheetPr>
  <dimension ref="A2:U50"/>
  <sheetViews>
    <sheetView workbookViewId="0">
      <selection activeCell="I20" sqref="I20"/>
    </sheetView>
  </sheetViews>
  <sheetFormatPr defaultColWidth="0" defaultRowHeight="14.45"/>
  <cols>
    <col min="1" max="1" width="3.140625" style="14" customWidth="1"/>
    <col min="2" max="2" width="33.140625" style="14" customWidth="1"/>
    <col min="3" max="4" width="17.42578125" style="62" customWidth="1"/>
    <col min="5" max="7" width="17.42578125" style="14" customWidth="1"/>
    <col min="8" max="9" width="8.85546875" style="14" customWidth="1"/>
    <col min="10" max="16" width="13.5703125" style="14" hidden="1" customWidth="1"/>
    <col min="17" max="21" width="0" style="14" hidden="1" customWidth="1"/>
    <col min="22" max="16384" width="8.85546875" style="14" hidden="1"/>
  </cols>
  <sheetData>
    <row r="2" spans="2:8" ht="15.6">
      <c r="B2" s="93" t="s">
        <v>126</v>
      </c>
      <c r="C2" s="94"/>
      <c r="D2" s="94"/>
      <c r="E2" s="93"/>
      <c r="F2" s="93"/>
      <c r="G2" s="93"/>
      <c r="H2" s="93"/>
    </row>
    <row r="3" spans="2:8">
      <c r="B3" s="100" t="s">
        <v>127</v>
      </c>
      <c r="C3" s="70"/>
      <c r="D3" s="70"/>
      <c r="E3" s="69"/>
      <c r="F3" s="69"/>
      <c r="G3" s="69"/>
      <c r="H3" s="69"/>
    </row>
    <row r="4" spans="2:8">
      <c r="B4" s="69"/>
      <c r="C4" s="70"/>
      <c r="D4" s="70"/>
      <c r="E4" s="69"/>
      <c r="F4" s="69"/>
      <c r="G4" s="69"/>
      <c r="H4" s="69"/>
    </row>
    <row r="5" spans="2:8">
      <c r="B5" s="69"/>
      <c r="C5" s="68" t="s">
        <v>113</v>
      </c>
      <c r="D5" s="68" t="s">
        <v>114</v>
      </c>
      <c r="E5" s="68" t="s">
        <v>115</v>
      </c>
      <c r="F5" s="68" t="s">
        <v>116</v>
      </c>
      <c r="G5" s="68" t="s">
        <v>117</v>
      </c>
      <c r="H5" s="69"/>
    </row>
    <row r="6" spans="2:8">
      <c r="B6" s="69" t="s">
        <v>128</v>
      </c>
      <c r="C6" s="90">
        <f>Input!C12</f>
        <v>0.05</v>
      </c>
      <c r="D6" s="90">
        <f>C6</f>
        <v>0.05</v>
      </c>
      <c r="E6" s="90">
        <f t="shared" ref="E6:G10" si="0">D6</f>
        <v>0.05</v>
      </c>
      <c r="F6" s="90">
        <f t="shared" si="0"/>
        <v>0.05</v>
      </c>
      <c r="G6" s="90">
        <f t="shared" si="0"/>
        <v>0.05</v>
      </c>
      <c r="H6" s="69"/>
    </row>
    <row r="7" spans="2:8">
      <c r="B7" s="95" t="s">
        <v>129</v>
      </c>
      <c r="C7" s="96">
        <f>Input!C8</f>
        <v>2000</v>
      </c>
      <c r="D7" s="96">
        <f>C7*(1+D6)</f>
        <v>2100</v>
      </c>
      <c r="E7" s="96">
        <f t="shared" ref="E7:G7" si="1">D7*(1+E6)</f>
        <v>2205</v>
      </c>
      <c r="F7" s="96">
        <f t="shared" si="1"/>
        <v>2315.25</v>
      </c>
      <c r="G7" s="96">
        <f t="shared" si="1"/>
        <v>2431.0125000000003</v>
      </c>
      <c r="H7" s="69"/>
    </row>
    <row r="8" spans="2:8">
      <c r="B8" s="69" t="s">
        <v>130</v>
      </c>
      <c r="C8" s="90">
        <f>Input!C9</f>
        <v>0.2</v>
      </c>
      <c r="D8" s="90">
        <f>C8</f>
        <v>0.2</v>
      </c>
      <c r="E8" s="90">
        <f t="shared" si="0"/>
        <v>0.2</v>
      </c>
      <c r="F8" s="90">
        <f t="shared" si="0"/>
        <v>0.2</v>
      </c>
      <c r="G8" s="90">
        <f t="shared" si="0"/>
        <v>0.2</v>
      </c>
      <c r="H8" s="69"/>
    </row>
    <row r="9" spans="2:8">
      <c r="B9" s="95" t="s">
        <v>131</v>
      </c>
      <c r="C9" s="97">
        <f>C8*C7</f>
        <v>400</v>
      </c>
      <c r="D9" s="97">
        <f t="shared" ref="D9:G9" si="2">D8*D7</f>
        <v>420</v>
      </c>
      <c r="E9" s="97">
        <f t="shared" si="2"/>
        <v>441</v>
      </c>
      <c r="F9" s="97">
        <f t="shared" si="2"/>
        <v>463.05</v>
      </c>
      <c r="G9" s="97">
        <f t="shared" si="2"/>
        <v>486.2025000000001</v>
      </c>
      <c r="H9" s="69"/>
    </row>
    <row r="10" spans="2:8">
      <c r="B10" s="69" t="s">
        <v>132</v>
      </c>
      <c r="C10" s="90">
        <f>Results!C8</f>
        <v>0.4</v>
      </c>
      <c r="D10" s="90">
        <f>C10</f>
        <v>0.4</v>
      </c>
      <c r="E10" s="90">
        <f t="shared" si="0"/>
        <v>0.4</v>
      </c>
      <c r="F10" s="90">
        <f t="shared" si="0"/>
        <v>0.4</v>
      </c>
      <c r="G10" s="90">
        <f t="shared" si="0"/>
        <v>0.4</v>
      </c>
      <c r="H10" s="69"/>
    </row>
    <row r="11" spans="2:8">
      <c r="B11" s="69" t="s">
        <v>133</v>
      </c>
      <c r="C11" s="92">
        <f>C10*C7</f>
        <v>800</v>
      </c>
      <c r="D11" s="92">
        <f t="shared" ref="D11:G11" si="3">D10*D7</f>
        <v>840</v>
      </c>
      <c r="E11" s="92">
        <f t="shared" si="3"/>
        <v>882</v>
      </c>
      <c r="F11" s="92">
        <f t="shared" si="3"/>
        <v>926.1</v>
      </c>
      <c r="G11" s="92">
        <f t="shared" si="3"/>
        <v>972.4050000000002</v>
      </c>
      <c r="H11" s="69"/>
    </row>
    <row r="12" spans="2:8">
      <c r="B12" s="69"/>
      <c r="C12" s="70"/>
      <c r="D12" s="70"/>
      <c r="E12" s="69"/>
      <c r="F12" s="69"/>
      <c r="G12" s="69"/>
      <c r="H12" s="69"/>
    </row>
    <row r="13" spans="2:8">
      <c r="B13" s="30" t="s">
        <v>71</v>
      </c>
      <c r="C13" s="66"/>
      <c r="D13" s="66"/>
      <c r="E13" s="28"/>
      <c r="F13" s="28"/>
      <c r="G13" s="28"/>
      <c r="H13" s="28"/>
    </row>
    <row r="14" spans="2:8">
      <c r="E14" s="62"/>
      <c r="F14" s="62"/>
      <c r="G14" s="62"/>
    </row>
    <row r="15" spans="2:8">
      <c r="C15" s="68" t="s">
        <v>113</v>
      </c>
      <c r="D15" s="68" t="s">
        <v>114</v>
      </c>
      <c r="E15" s="68" t="s">
        <v>115</v>
      </c>
      <c r="F15" s="68" t="s">
        <v>116</v>
      </c>
      <c r="G15" s="68" t="s">
        <v>117</v>
      </c>
    </row>
    <row r="16" spans="2:8">
      <c r="B16" s="76" t="str">
        <f>CONCATENATE("At Current Premium Split: ",Input!$C$9*100, "%")</f>
        <v>At Current Premium Split: 20%</v>
      </c>
      <c r="C16" s="74">
        <f>C$7*Input!$C$9*Input!$C$15*Input!$C$16</f>
        <v>480000</v>
      </c>
      <c r="D16" s="74">
        <f>D$7*Input!$C$9*Input!$C$15*Input!$C$16</f>
        <v>504000</v>
      </c>
      <c r="E16" s="74">
        <f>E$7*Input!$C$9*Input!$C$15*Input!$C$16</f>
        <v>529200</v>
      </c>
      <c r="F16" s="74">
        <f>F$7*Input!$C$9*Input!$C$15*Input!$C$16</f>
        <v>555660</v>
      </c>
      <c r="G16" s="74">
        <f>G$7*Input!$C$9*Input!$C$15*Input!$C$16</f>
        <v>583443.00000000012</v>
      </c>
    </row>
    <row r="17" spans="2:8">
      <c r="B17" s="77" t="str">
        <f>CONCATENATE("At Desired Premium Split: ",Results!C8*100, "%")</f>
        <v>At Desired Premium Split: 40%</v>
      </c>
      <c r="C17" s="74">
        <f>C$7*Results!$C$8*Input!$C$15*Input!$C$16</f>
        <v>960000</v>
      </c>
      <c r="D17" s="74">
        <f>D$7*Results!$C$8*Input!$C$15*Input!$C$16</f>
        <v>1008000</v>
      </c>
      <c r="E17" s="74">
        <f>E$7*Results!$C$8*Input!$C$15*Input!$C$16</f>
        <v>1058400</v>
      </c>
      <c r="F17" s="74">
        <f>F$7*Results!$C$8*Input!$C$15*Input!$C$16</f>
        <v>1111320</v>
      </c>
      <c r="G17" s="74">
        <f>G$7*Results!$C$8*Input!$C$15*Input!$C$16</f>
        <v>1166886.0000000002</v>
      </c>
    </row>
    <row r="18" spans="2:8">
      <c r="B18" s="78" t="s">
        <v>74</v>
      </c>
      <c r="C18" s="75">
        <f>C17-C16</f>
        <v>480000</v>
      </c>
      <c r="D18" s="75">
        <f t="shared" ref="D18:G18" si="4">D17-D16</f>
        <v>504000</v>
      </c>
      <c r="E18" s="75">
        <f t="shared" si="4"/>
        <v>529200</v>
      </c>
      <c r="F18" s="75">
        <f t="shared" si="4"/>
        <v>555660</v>
      </c>
      <c r="G18" s="75">
        <f t="shared" si="4"/>
        <v>583443.00000000012</v>
      </c>
    </row>
    <row r="19" spans="2:8">
      <c r="B19" s="69"/>
      <c r="C19" s="70"/>
      <c r="D19" s="70"/>
      <c r="E19" s="69"/>
      <c r="F19" s="69"/>
      <c r="G19" s="69"/>
      <c r="H19" s="69"/>
    </row>
    <row r="20" spans="2:8">
      <c r="B20" s="30" t="s">
        <v>75</v>
      </c>
      <c r="C20" s="61"/>
      <c r="D20" s="61"/>
      <c r="E20" s="31"/>
      <c r="F20" s="28"/>
      <c r="G20" s="28"/>
      <c r="H20" s="28"/>
    </row>
    <row r="21" spans="2:8">
      <c r="C21" s="63"/>
      <c r="D21" s="63"/>
    </row>
    <row r="22" spans="2:8">
      <c r="B22" s="40"/>
      <c r="C22" s="68" t="s">
        <v>113</v>
      </c>
      <c r="D22" s="68" t="s">
        <v>114</v>
      </c>
      <c r="E22" s="68" t="s">
        <v>115</v>
      </c>
      <c r="F22" s="68" t="s">
        <v>116</v>
      </c>
      <c r="G22" s="68" t="s">
        <v>117</v>
      </c>
    </row>
    <row r="23" spans="2:8">
      <c r="B23" s="76" t="s">
        <v>59</v>
      </c>
      <c r="C23" s="79">
        <f>C9*Assumptions!$E$8/60</f>
        <v>68.400000000000006</v>
      </c>
      <c r="D23" s="79">
        <f>D9*Assumptions!$E$8/60</f>
        <v>71.819999999999993</v>
      </c>
      <c r="E23" s="79">
        <f>E9*Assumptions!$E$8/60</f>
        <v>75.411000000000001</v>
      </c>
      <c r="F23" s="79">
        <f>F9*Assumptions!$E$8/60</f>
        <v>79.181550000000001</v>
      </c>
      <c r="G23" s="79">
        <f>G9*Assumptions!$E$8/60</f>
        <v>83.140627500000008</v>
      </c>
    </row>
    <row r="24" spans="2:8">
      <c r="B24" s="77" t="s">
        <v>79</v>
      </c>
      <c r="C24" s="83">
        <f>C9*Assumptions!$E$11/60</f>
        <v>26.533333333333335</v>
      </c>
      <c r="D24" s="83">
        <f>D9*Assumptions!$E$11/60</f>
        <v>27.86</v>
      </c>
      <c r="E24" s="83">
        <f>E9*Assumptions!$E$11/60</f>
        <v>29.253</v>
      </c>
      <c r="F24" s="83">
        <f>F9*Assumptions!$E$11/60</f>
        <v>30.71565</v>
      </c>
      <c r="G24" s="83">
        <f>G9*Assumptions!$E$11/60</f>
        <v>32.251432500000007</v>
      </c>
    </row>
    <row r="25" spans="2:8">
      <c r="B25" s="81" t="s">
        <v>134</v>
      </c>
      <c r="C25" s="98">
        <f>SUM(C23:C24)</f>
        <v>94.933333333333337</v>
      </c>
      <c r="D25" s="98">
        <f t="shared" ref="D25:G25" si="5">SUM(D23:D24)</f>
        <v>99.679999999999993</v>
      </c>
      <c r="E25" s="98">
        <f t="shared" si="5"/>
        <v>104.664</v>
      </c>
      <c r="F25" s="98">
        <f t="shared" si="5"/>
        <v>109.8972</v>
      </c>
      <c r="G25" s="99">
        <f t="shared" si="5"/>
        <v>115.39206000000001</v>
      </c>
    </row>
    <row r="26" spans="2:8">
      <c r="E26" s="62"/>
      <c r="F26" s="62"/>
      <c r="G26" s="62"/>
    </row>
    <row r="27" spans="2:8">
      <c r="B27" s="76" t="s">
        <v>59</v>
      </c>
      <c r="C27" s="65">
        <f>C23*Input!$C$19</f>
        <v>1710.0000000000002</v>
      </c>
      <c r="D27" s="65">
        <f>D23*Input!$C$19</f>
        <v>1795.4999999999998</v>
      </c>
      <c r="E27" s="65">
        <f>E23*Input!$C$19</f>
        <v>1885.2750000000001</v>
      </c>
      <c r="F27" s="65">
        <f>F23*Input!$C$19</f>
        <v>1979.5387499999999</v>
      </c>
      <c r="G27" s="65">
        <f>G23*Input!$C$19</f>
        <v>2078.5156875000002</v>
      </c>
    </row>
    <row r="28" spans="2:8">
      <c r="B28" s="77" t="s">
        <v>79</v>
      </c>
      <c r="C28" s="73">
        <f>C24*Input!$C$20</f>
        <v>13266.666666666668</v>
      </c>
      <c r="D28" s="73">
        <f>D24*Input!$C$20</f>
        <v>13930</v>
      </c>
      <c r="E28" s="73">
        <f>E24*Input!$C$20</f>
        <v>14626.5</v>
      </c>
      <c r="F28" s="73">
        <f>F24*Input!$C$20</f>
        <v>15357.825000000001</v>
      </c>
      <c r="G28" s="73">
        <f>G24*Input!$C$20</f>
        <v>16125.716250000003</v>
      </c>
    </row>
    <row r="29" spans="2:8">
      <c r="B29" s="82" t="s">
        <v>135</v>
      </c>
      <c r="C29" s="84">
        <f>SUM(C27:C28)</f>
        <v>14976.666666666668</v>
      </c>
      <c r="D29" s="84">
        <f t="shared" ref="D29:G29" si="6">SUM(D27:D28)</f>
        <v>15725.5</v>
      </c>
      <c r="E29" s="84">
        <f t="shared" si="6"/>
        <v>16511.775000000001</v>
      </c>
      <c r="F29" s="84">
        <f t="shared" si="6"/>
        <v>17337.36375</v>
      </c>
      <c r="G29" s="84">
        <f t="shared" si="6"/>
        <v>18204.231937500004</v>
      </c>
    </row>
    <row r="30" spans="2:8">
      <c r="E30" s="62"/>
      <c r="F30" s="62"/>
      <c r="G30" s="62"/>
    </row>
    <row r="31" spans="2:8">
      <c r="B31" s="30" t="s">
        <v>136</v>
      </c>
      <c r="C31" s="66"/>
      <c r="D31" s="66"/>
      <c r="E31" s="28"/>
      <c r="F31" s="28"/>
      <c r="G31" s="28"/>
      <c r="H31" s="28"/>
    </row>
    <row r="33" spans="2:7">
      <c r="C33" s="68" t="s">
        <v>113</v>
      </c>
      <c r="D33" s="68" t="s">
        <v>114</v>
      </c>
      <c r="E33" s="68" t="s">
        <v>115</v>
      </c>
      <c r="F33" s="68" t="s">
        <v>116</v>
      </c>
      <c r="G33" s="68" t="s">
        <v>117</v>
      </c>
    </row>
    <row r="34" spans="2:7">
      <c r="B34" s="76" t="s">
        <v>83</v>
      </c>
      <c r="C34" s="79">
        <f>C25</f>
        <v>94.933333333333337</v>
      </c>
      <c r="D34" s="79">
        <f t="shared" ref="D34:G34" si="7">D25</f>
        <v>99.679999999999993</v>
      </c>
      <c r="E34" s="79">
        <f t="shared" si="7"/>
        <v>104.664</v>
      </c>
      <c r="F34" s="79">
        <f t="shared" si="7"/>
        <v>109.8972</v>
      </c>
      <c r="G34" s="79">
        <f t="shared" si="7"/>
        <v>115.39206000000001</v>
      </c>
    </row>
    <row r="35" spans="2:7">
      <c r="B35" s="80" t="s">
        <v>84</v>
      </c>
      <c r="C35" s="79">
        <f>C25*60/Assumptions!$D$14</f>
        <v>348.59241126070992</v>
      </c>
      <c r="D35" s="79">
        <f>D25*60/Assumptions!$D$14</f>
        <v>366.02203182374535</v>
      </c>
      <c r="E35" s="79">
        <f>E25*60/Assumptions!$D$14</f>
        <v>384.32313341493267</v>
      </c>
      <c r="F35" s="79">
        <f>F25*60/Assumptions!$D$14</f>
        <v>403.53929008567934</v>
      </c>
      <c r="G35" s="79">
        <f>G25*60/Assumptions!$D$14</f>
        <v>423.71625458996328</v>
      </c>
    </row>
    <row r="36" spans="2:7">
      <c r="E36" s="62"/>
      <c r="F36" s="62"/>
      <c r="G36" s="62"/>
    </row>
    <row r="37" spans="2:7" ht="12.6" customHeight="1">
      <c r="B37" s="40" t="str">
        <f>CONCATENATE("At Current Premium Split: ",Input!$C$9*100, "%")</f>
        <v>At Current Premium Split: 20%</v>
      </c>
      <c r="C37" s="68"/>
      <c r="D37" s="68"/>
      <c r="E37" s="68"/>
      <c r="F37" s="68"/>
      <c r="G37" s="68"/>
    </row>
    <row r="38" spans="2:7">
      <c r="B38" s="76" t="s">
        <v>85</v>
      </c>
      <c r="C38" s="79">
        <f>C35*C8</f>
        <v>69.718482252141982</v>
      </c>
      <c r="D38" s="79">
        <f>D35*D8</f>
        <v>73.204406364749076</v>
      </c>
      <c r="E38" s="79">
        <f>E35*E8</f>
        <v>76.86462668298654</v>
      </c>
      <c r="F38" s="79">
        <f>F35*F8</f>
        <v>80.707858017135877</v>
      </c>
      <c r="G38" s="79">
        <f>G35*G8</f>
        <v>84.743250917992668</v>
      </c>
    </row>
    <row r="39" spans="2:7">
      <c r="B39" s="82" t="s">
        <v>74</v>
      </c>
      <c r="C39" s="84">
        <f>C38*Input!$C$15*Input!$C$16</f>
        <v>83662.178702570382</v>
      </c>
      <c r="D39" s="84">
        <f>D38*Input!$C$15*Input!$C$16</f>
        <v>87845.287637698901</v>
      </c>
      <c r="E39" s="84">
        <f>E38*Input!$C$15*Input!$C$16</f>
        <v>92237.552019583862</v>
      </c>
      <c r="F39" s="84">
        <f>F38*Input!$C$15*Input!$C$16</f>
        <v>96849.429620563053</v>
      </c>
      <c r="G39" s="84">
        <f>G38*Input!$C$15*Input!$C$16</f>
        <v>101691.90110159121</v>
      </c>
    </row>
    <row r="40" spans="2:7">
      <c r="B40" s="41"/>
      <c r="C40" s="14"/>
      <c r="D40" s="14"/>
    </row>
    <row r="41" spans="2:7">
      <c r="B41" s="40" t="str">
        <f>CONCATENATE("At Desired Premium Split: ",Results!C8*100, "%")</f>
        <v>At Desired Premium Split: 40%</v>
      </c>
      <c r="C41" s="14"/>
      <c r="D41" s="14"/>
    </row>
    <row r="42" spans="2:7">
      <c r="B42" s="76" t="s">
        <v>85</v>
      </c>
      <c r="C42" s="79">
        <f>C35*C10</f>
        <v>139.43696450428396</v>
      </c>
      <c r="D42" s="79">
        <f>D35*D10</f>
        <v>146.40881272949815</v>
      </c>
      <c r="E42" s="79">
        <f>E35*E10</f>
        <v>153.72925336597308</v>
      </c>
      <c r="F42" s="79">
        <f>F35*F10</f>
        <v>161.41571603427175</v>
      </c>
      <c r="G42" s="79">
        <f>G35*G10</f>
        <v>169.48650183598534</v>
      </c>
    </row>
    <row r="43" spans="2:7">
      <c r="B43" s="82" t="s">
        <v>74</v>
      </c>
      <c r="C43" s="84">
        <f>C42*Input!$C$15*Input!$C$16</f>
        <v>167324.35740514076</v>
      </c>
      <c r="D43" s="84">
        <f>D42*Input!$C$15*Input!$C$16</f>
        <v>175690.5752753978</v>
      </c>
      <c r="E43" s="84">
        <f>E42*Input!$C$15*Input!$C$16</f>
        <v>184475.10403916772</v>
      </c>
      <c r="F43" s="84">
        <f>F42*Input!$C$15*Input!$C$16</f>
        <v>193698.85924112611</v>
      </c>
      <c r="G43" s="84">
        <f>G42*Input!$C$15*Input!$C$16</f>
        <v>203383.80220318242</v>
      </c>
    </row>
    <row r="44" spans="2:7">
      <c r="C44" s="14"/>
      <c r="D44" s="14"/>
    </row>
    <row r="45" spans="2:7">
      <c r="C45" s="14"/>
      <c r="D45" s="14"/>
    </row>
    <row r="46" spans="2:7">
      <c r="C46" s="14"/>
      <c r="D46" s="14"/>
    </row>
    <row r="47" spans="2:7">
      <c r="C47" s="14"/>
      <c r="D47" s="14"/>
    </row>
    <row r="48" spans="2:7">
      <c r="C48" s="14"/>
      <c r="D48" s="14"/>
    </row>
    <row r="49" s="14" customFormat="1"/>
    <row r="50" s="14" customFormat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3231067111D844B5B6C81BE69893AD" ma:contentTypeVersion="16" ma:contentTypeDescription="Create a new document." ma:contentTypeScope="" ma:versionID="819132eb8646546d61ef1fa97dc4630f">
  <xsd:schema xmlns:xsd="http://www.w3.org/2001/XMLSchema" xmlns:xs="http://www.w3.org/2001/XMLSchema" xmlns:p="http://schemas.microsoft.com/office/2006/metadata/properties" xmlns:ns2="ddba2146-e3ea-4acc-8021-a54c3f55c71e" xmlns:ns3="2e36c10b-a5a0-4a0a-b66a-905adc24dba5" targetNamespace="http://schemas.microsoft.com/office/2006/metadata/properties" ma:root="true" ma:fieldsID="1d8b34d42c5336efed2f12edb1f8f1f9" ns2:_="" ns3:_="">
    <xsd:import namespace="ddba2146-e3ea-4acc-8021-a54c3f55c71e"/>
    <xsd:import namespace="2e36c10b-a5a0-4a0a-b66a-905adc24db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a2146-e3ea-4acc-8021-a54c3f55c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cb16d06-cce8-4b98-b10a-06f7811753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6c10b-a5a0-4a0a-b66a-905adc24db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64295a8-7ae6-4fe8-8a56-9636c9f1fc45}" ma:internalName="TaxCatchAll" ma:showField="CatchAllData" ma:web="2e36c10b-a5a0-4a0a-b66a-905adc24db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36c10b-a5a0-4a0a-b66a-905adc24dba5" xsi:nil="true"/>
    <lcf76f155ced4ddcb4097134ff3c332f xmlns="ddba2146-e3ea-4acc-8021-a54c3f55c7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15F170-0E2C-4AB4-AA29-345E89D00D2B}"/>
</file>

<file path=customXml/itemProps2.xml><?xml version="1.0" encoding="utf-8"?>
<ds:datastoreItem xmlns:ds="http://schemas.openxmlformats.org/officeDocument/2006/customXml" ds:itemID="{690F8E89-ACDC-4638-BD66-32D16F7F0354}"/>
</file>

<file path=customXml/itemProps3.xml><?xml version="1.0" encoding="utf-8"?>
<ds:datastoreItem xmlns:ds="http://schemas.openxmlformats.org/officeDocument/2006/customXml" ds:itemID="{B123D9D5-4F43-4A63-9C48-E6CA003B75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Koehn</dc:creator>
  <cp:keywords/>
  <dc:description/>
  <cp:lastModifiedBy/>
  <cp:revision/>
  <dcterms:created xsi:type="dcterms:W3CDTF">2025-12-04T17:02:13Z</dcterms:created>
  <dcterms:modified xsi:type="dcterms:W3CDTF">2026-03-11T16:29:19Z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0x010100423231067111D844B5B6C81BE69893AD</vt:lpwstr>
  </property>
  <property fmtid="{D5CDD505-2E9C-101B-9397-08002B2CF9AE}" pid="3" name="MediaServiceImageTags">
    <vt:lpwstr/>
  </property>
</Properties>
</file>